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Z\KZ_I\.1POSIEDZENIA ZARZĄDU\565 - 13 lutego 2024\Materiały\Dep. Budżetu i Finansów\US w sprawie zmian w budżecie\"/>
    </mc:Choice>
  </mc:AlternateContent>
  <xr:revisionPtr revIDLastSave="0" documentId="13_ncr:1_{2D4A3779-6824-484C-B42B-E53D6F09DA29}" xr6:coauthVersionLast="36" xr6:coauthVersionMax="47" xr10:uidLastSave="{00000000-0000-0000-0000-000000000000}"/>
  <bookViews>
    <workbookView xWindow="7230" yWindow="345" windowWidth="18465" windowHeight="13935" activeTab="2" xr2:uid="{00000000-000D-0000-FFFF-FFFF00000000}"/>
  </bookViews>
  <sheets>
    <sheet name="Załącznik Nr 1" sheetId="10" r:id="rId1"/>
    <sheet name="Załącznik Nr 2 " sheetId="11" r:id="rId2"/>
    <sheet name="Załącznik  3" sheetId="12" r:id="rId3"/>
    <sheet name="Załącznik Nr 3" sheetId="8" state="hidden" r:id="rId4"/>
  </sheets>
  <definedNames>
    <definedName name="nowwa" localSheetId="2">#REF!</definedName>
    <definedName name="nowwa">#REF!</definedName>
    <definedName name="Obszar_1093uku">#REF!</definedName>
    <definedName name="_xlnm.Print_Area" localSheetId="2">'Załącznik  3'!$A$1:$D$23</definedName>
    <definedName name="_xlnm.Print_Area" localSheetId="0">'Załącznik Nr 1'!$A$1:$F$16</definedName>
    <definedName name="_xlnm.Print_Area" localSheetId="1">'Załącznik Nr 2 '!$A$1:$F$97</definedName>
    <definedName name="_xlnm.Print_Area" localSheetId="3">'Załącznik Nr 3'!$A$1:$D$24</definedName>
    <definedName name="_xlnm.Print_Titles" localSheetId="0">'Załącznik Nr 1'!$5:$7</definedName>
    <definedName name="_xlnm.Print_Titles" localSheetId="1">'Załącznik Nr 2 '!$5:$7</definedName>
  </definedNames>
  <calcPr calcId="191029"/>
</workbook>
</file>

<file path=xl/calcChain.xml><?xml version="1.0" encoding="utf-8"?>
<calcChain xmlns="http://schemas.openxmlformats.org/spreadsheetml/2006/main">
  <c r="G91" i="11" l="1"/>
  <c r="G86" i="11"/>
  <c r="G71" i="11"/>
  <c r="G65" i="11"/>
  <c r="G54" i="11"/>
  <c r="G55" i="11"/>
  <c r="G41" i="11"/>
  <c r="G59" i="11"/>
  <c r="G60" i="11"/>
  <c r="G13" i="10" l="1"/>
  <c r="G94" i="11"/>
  <c r="F16" i="10"/>
  <c r="F15" i="10"/>
  <c r="D10" i="12"/>
  <c r="C10" i="12"/>
  <c r="C8" i="12" s="1"/>
  <c r="C4" i="12" s="1"/>
  <c r="C23" i="12" s="1"/>
  <c r="D11" i="12"/>
  <c r="C11" i="12"/>
  <c r="Q530" i="12"/>
  <c r="D21" i="12"/>
  <c r="C21" i="12"/>
  <c r="D19" i="12"/>
  <c r="C19" i="12"/>
  <c r="C18" i="12" s="1"/>
  <c r="D18" i="12"/>
  <c r="D16" i="12"/>
  <c r="C16" i="12"/>
  <c r="D14" i="12"/>
  <c r="C14" i="12"/>
  <c r="D8" i="12"/>
  <c r="D4" i="12" s="1"/>
  <c r="D23" i="12" s="1"/>
  <c r="D5" i="12"/>
  <c r="C5" i="12"/>
  <c r="F13" i="10" l="1"/>
  <c r="D13" i="10"/>
  <c r="F94" i="11"/>
  <c r="D94" i="11"/>
  <c r="F97" i="11"/>
  <c r="F96" i="11"/>
  <c r="D97" i="11"/>
  <c r="D96" i="11"/>
  <c r="G56" i="11" l="1"/>
  <c r="F56" i="11"/>
  <c r="G69" i="11" l="1"/>
  <c r="G66" i="11"/>
  <c r="D16" i="10"/>
  <c r="D15" i="10"/>
  <c r="F89" i="11"/>
  <c r="F90" i="11"/>
  <c r="F87" i="11"/>
  <c r="D56" i="11"/>
  <c r="D11" i="10" l="1"/>
  <c r="F71" i="11"/>
  <c r="F54" i="11"/>
  <c r="F53" i="11"/>
  <c r="F52" i="11"/>
  <c r="F49" i="11"/>
  <c r="F48" i="11"/>
  <c r="F46" i="11"/>
  <c r="F45" i="11"/>
  <c r="F44" i="11"/>
  <c r="F41" i="11"/>
  <c r="F39" i="11"/>
  <c r="F37" i="11"/>
  <c r="F35" i="11"/>
  <c r="F33" i="11"/>
  <c r="F31" i="11"/>
  <c r="F29" i="11"/>
  <c r="F27" i="11"/>
  <c r="F63" i="11"/>
  <c r="G68" i="11" s="1"/>
  <c r="H67" i="11" s="1"/>
  <c r="F25" i="11"/>
  <c r="F23" i="11"/>
  <c r="F21" i="11"/>
  <c r="F19" i="11"/>
  <c r="F17" i="11"/>
  <c r="F15" i="11"/>
  <c r="F13" i="11"/>
  <c r="F11" i="11"/>
  <c r="D8" i="11"/>
  <c r="G25" i="11" l="1"/>
  <c r="G48" i="11"/>
  <c r="F98" i="11" l="1"/>
  <c r="D98" i="11"/>
  <c r="F99" i="11" l="1"/>
  <c r="D99" i="11"/>
  <c r="D17" i="10" l="1"/>
  <c r="F17" i="10"/>
  <c r="D18" i="10" l="1"/>
  <c r="F18" i="10"/>
  <c r="C23" i="8" l="1"/>
  <c r="D23" i="8" l="1"/>
  <c r="D20" i="8"/>
  <c r="C20" i="8"/>
  <c r="D19" i="8"/>
  <c r="C19" i="8"/>
  <c r="D14" i="8"/>
  <c r="C14" i="8"/>
  <c r="D12" i="8"/>
  <c r="C12" i="8"/>
  <c r="D9" i="8"/>
  <c r="C9" i="8"/>
  <c r="D22" i="8" l="1"/>
  <c r="C22" i="8"/>
  <c r="D21" i="8"/>
  <c r="D17" i="8" s="1"/>
  <c r="C21" i="8"/>
  <c r="C17" i="8" s="1"/>
  <c r="D15" i="8"/>
  <c r="C15" i="8"/>
  <c r="D13" i="8"/>
  <c r="C13" i="8"/>
  <c r="D11" i="8"/>
  <c r="C11" i="8"/>
  <c r="D10" i="8"/>
  <c r="C10" i="8"/>
  <c r="D8" i="8"/>
  <c r="C8" i="8"/>
  <c r="D5" i="8"/>
  <c r="D4" i="8" s="1"/>
  <c r="C5" i="8"/>
  <c r="C4" i="8" s="1"/>
  <c r="C7" i="8" l="1"/>
  <c r="C24" i="8" s="1"/>
  <c r="D7" i="8"/>
  <c r="D24" i="8" s="1"/>
</calcChain>
</file>

<file path=xl/sharedStrings.xml><?xml version="1.0" encoding="utf-8"?>
<sst xmlns="http://schemas.openxmlformats.org/spreadsheetml/2006/main" count="125" uniqueCount="86">
  <si>
    <t>Dział</t>
  </si>
  <si>
    <t>Rozdział</t>
  </si>
  <si>
    <t>w tym:</t>
  </si>
  <si>
    <t>Razem</t>
  </si>
  <si>
    <t>kwota</t>
  </si>
  <si>
    <t>§</t>
  </si>
  <si>
    <t>zwiększenia</t>
  </si>
  <si>
    <t>zmniejszenia</t>
  </si>
  <si>
    <t>PLAN WYDATKÓW</t>
  </si>
  <si>
    <t>Zmiana planu wydatków w szczegółowości dział, rozdział, paragraf</t>
  </si>
  <si>
    <t>wydatki bieżące</t>
  </si>
  <si>
    <t>wydatki majątkowe</t>
  </si>
  <si>
    <t>Załącznik Nr 3
do  Uchwały ……...
Sejmiku Województwa Podkarpackiego 
 w Rzeszowie  z dnia …………….</t>
  </si>
  <si>
    <t xml:space="preserve">PLAN DOCHODÓW GROMADZONYCH NA WYODRĘBNIONYM RACHUNKU PRZEZ WOJEWÓDZKIE OŚWIATOWE JEDNOSTKI BUDŻETOWE, 
ORAZ WYDATKÓW NIMI FINANSOWANYCH </t>
  </si>
  <si>
    <t>Lp.</t>
  </si>
  <si>
    <t>Nazwa  jednostki</t>
  </si>
  <si>
    <t>Dochody</t>
  </si>
  <si>
    <t>Wydatki</t>
  </si>
  <si>
    <t>Rozdział 80102</t>
  </si>
  <si>
    <t xml:space="preserve">Zespół Szkół  przy Klinicznym Szpitalu Wojewódzkim Nr 2 w  Rzeszowie                 </t>
  </si>
  <si>
    <t>Zespół  Szkół  Specjalnych  w  Rymanowie  Zdroju</t>
  </si>
  <si>
    <t>Rozdział 80130</t>
  </si>
  <si>
    <t>Medyczno-Społeczne Centrum Kształcenia Zawodowego 
i Ustawicznego w Przemyślu</t>
  </si>
  <si>
    <t>Medyczno-Społeczne Centrum Kształcenia Zawodowego 
i Ustawicznego w Jaśle</t>
  </si>
  <si>
    <t xml:space="preserve">Medyczno-Społeczne Centrum Kształcenia Zawodowego 
i Ustawicznego w Sanoku                         </t>
  </si>
  <si>
    <t xml:space="preserve">Medyczno-Społeczne Centrum Kształcenia Zawodowego 
i Ustawicznego w Łańcucie                        </t>
  </si>
  <si>
    <t xml:space="preserve">Medyczno-Społeczne Centrum Kształcenia Zawodowego 
i Ustawicznego w Mielcu                         </t>
  </si>
  <si>
    <t>Medyczno-Społeczne Centrum Kształcenia Zawodowego 
i Ustawicznego w Stalowej  Woli</t>
  </si>
  <si>
    <t>Medyczno-Społeczne Centrum Kształcenia Zawodowego 
i Ustawicznego w Rzeszowie</t>
  </si>
  <si>
    <t>Rozdział 80146</t>
  </si>
  <si>
    <t>Podkarpacke Centrum Edukacji  Nauczycieli w Rzeszowie</t>
  </si>
  <si>
    <t>Rozdział 80147</t>
  </si>
  <si>
    <t>Pedagogiczna  Biblioteka  Wojewódzka  w Rzeszowie</t>
  </si>
  <si>
    <t>Pedagogiczna  Biblioteka  Wojewódzka  w  Krośnie</t>
  </si>
  <si>
    <t>Pedagogiczna  Biblioteka  Wojewódzka  w  Przemyślu</t>
  </si>
  <si>
    <t xml:space="preserve">Biblioteka  Pedagogiczna  w  Tarnobrzegu  </t>
  </si>
  <si>
    <t>Rozdział 85410</t>
  </si>
  <si>
    <t>Medyczno-Społeczne Centrum Kształcenia Zawodowego 
i Ustawicznego  w  Rzeszowie</t>
  </si>
  <si>
    <t xml:space="preserve">       OGÓŁEM </t>
  </si>
  <si>
    <t>Zmiana planu dochodów w szczegółowości dział, rozdział, paragraf</t>
  </si>
  <si>
    <t>PLAN DOCHODÓW</t>
  </si>
  <si>
    <t>dochody bieżące</t>
  </si>
  <si>
    <t>dochody majątkowe</t>
  </si>
  <si>
    <t>60013</t>
  </si>
  <si>
    <t>600</t>
  </si>
  <si>
    <t>801</t>
  </si>
  <si>
    <t>75866</t>
  </si>
  <si>
    <t>852</t>
  </si>
  <si>
    <t>85295</t>
  </si>
  <si>
    <t>921</t>
  </si>
  <si>
    <t>758</t>
  </si>
  <si>
    <t>851</t>
  </si>
  <si>
    <t>85111</t>
  </si>
  <si>
    <t>Załącznik  Nr 1
do projektu 
Uchwały Sejmiku 
w sprawie zmian w budżecie 
Województwa Podkarpackiego 
na 2024 r.</t>
  </si>
  <si>
    <t>Załącznik  Nr 2
do projektu 
Uchwały Sejmiku 
w sprawie zmian w budżecie 
Województwa Podkarpackiego 
na 2024 r.</t>
  </si>
  <si>
    <t>6209</t>
  </si>
  <si>
    <t>750</t>
  </si>
  <si>
    <t>80195</t>
  </si>
  <si>
    <t>730</t>
  </si>
  <si>
    <t>73095</t>
  </si>
  <si>
    <t>75095</t>
  </si>
  <si>
    <t>85195</t>
  </si>
  <si>
    <t>80146</t>
  </si>
  <si>
    <t>853</t>
  </si>
  <si>
    <t>85311</t>
  </si>
  <si>
    <t>85395</t>
  </si>
  <si>
    <t>900</t>
  </si>
  <si>
    <t>90005</t>
  </si>
  <si>
    <t>92106</t>
  </si>
  <si>
    <t>92109</t>
  </si>
  <si>
    <t>92118</t>
  </si>
  <si>
    <t>925</t>
  </si>
  <si>
    <t>92502</t>
  </si>
  <si>
    <t>926</t>
  </si>
  <si>
    <t>92605</t>
  </si>
  <si>
    <t>6090</t>
  </si>
  <si>
    <t>92120</t>
  </si>
  <si>
    <t>75814</t>
  </si>
  <si>
    <t>0920</t>
  </si>
  <si>
    <t>DZIAŁ 801</t>
  </si>
  <si>
    <t xml:space="preserve">Zespół Szkół przy Klinicznym Szpitalu Wojewódzkim Nr 2 w Rzeszowie                 </t>
  </si>
  <si>
    <t>Zespół Szkół Specjalnych w Rymanowie Zdroju</t>
  </si>
  <si>
    <t>Podkarpacki Zespół Placówek Wojewódzkich w Rzeszowie</t>
  </si>
  <si>
    <t>DZIAŁ 854</t>
  </si>
  <si>
    <t>Rozdział 85417</t>
  </si>
  <si>
    <t>Załącznik Nr 3
do projektu 
Uchwały Sejmiku 
w sprawie zmian w budżecie 
Województwa Podkarpackiego 
na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</si>
</sst>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2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/>
    <xf numFmtId="0" fontId="2" fillId="0" borderId="0"/>
    <xf numFmtId="0" fontId="3" fillId="0" borderId="0"/>
  </cellStyleXfs>
  <cellXfs count="167">
    <xf numFmtId="0" fontId="0" fillId="0" borderId="0" xfId="0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top" wrapText="1"/>
    </xf>
    <xf numFmtId="3" fontId="8" fillId="0" borderId="0" xfId="0" applyNumberFormat="1" applyFont="1"/>
    <xf numFmtId="0" fontId="8" fillId="0" borderId="0" xfId="0" applyFont="1" applyAlignment="1">
      <alignment wrapText="1"/>
    </xf>
    <xf numFmtId="3" fontId="7" fillId="0" borderId="0" xfId="0" applyNumberFormat="1" applyFont="1"/>
    <xf numFmtId="3" fontId="8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3" fontId="12" fillId="2" borderId="9" xfId="0" applyNumberFormat="1" applyFont="1" applyFill="1" applyBorder="1" applyAlignment="1">
      <alignment horizontal="right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0" fontId="1" fillId="0" borderId="0" xfId="2" applyFont="1"/>
    <xf numFmtId="0" fontId="4" fillId="0" borderId="0" xfId="2"/>
    <xf numFmtId="0" fontId="23" fillId="5" borderId="1" xfId="2" applyFont="1" applyFill="1" applyBorder="1" applyAlignment="1">
      <alignment horizontal="center" vertical="center"/>
    </xf>
    <xf numFmtId="0" fontId="23" fillId="5" borderId="6" xfId="2" applyFont="1" applyFill="1" applyBorder="1" applyAlignment="1">
      <alignment horizontal="center" vertical="center"/>
    </xf>
    <xf numFmtId="0" fontId="23" fillId="5" borderId="9" xfId="2" applyFont="1" applyFill="1" applyBorder="1" applyAlignment="1">
      <alignment horizontal="center" vertical="center"/>
    </xf>
    <xf numFmtId="3" fontId="24" fillId="6" borderId="1" xfId="2" applyNumberFormat="1" applyFont="1" applyFill="1" applyBorder="1" applyAlignment="1">
      <alignment horizontal="right"/>
    </xf>
    <xf numFmtId="3" fontId="24" fillId="6" borderId="9" xfId="2" applyNumberFormat="1" applyFont="1" applyFill="1" applyBorder="1" applyAlignment="1">
      <alignment horizontal="right"/>
    </xf>
    <xf numFmtId="0" fontId="1" fillId="0" borderId="2" xfId="2" applyFont="1" applyBorder="1" applyAlignment="1">
      <alignment horizontal="center" vertical="center"/>
    </xf>
    <xf numFmtId="0" fontId="1" fillId="0" borderId="0" xfId="13" applyFont="1" applyAlignment="1">
      <alignment wrapText="1"/>
    </xf>
    <xf numFmtId="3" fontId="1" fillId="0" borderId="3" xfId="2" applyNumberFormat="1" applyFont="1" applyBorder="1" applyAlignment="1">
      <alignment vertical="center"/>
    </xf>
    <xf numFmtId="3" fontId="1" fillId="0" borderId="16" xfId="2" applyNumberFormat="1" applyFont="1" applyBorder="1" applyAlignment="1">
      <alignment vertical="center"/>
    </xf>
    <xf numFmtId="3" fontId="4" fillId="0" borderId="0" xfId="2" applyNumberFormat="1"/>
    <xf numFmtId="0" fontId="1" fillId="0" borderId="12" xfId="2" applyFont="1" applyBorder="1" applyAlignment="1">
      <alignment horizontal="center" vertical="center"/>
    </xf>
    <xf numFmtId="0" fontId="1" fillId="0" borderId="14" xfId="13" applyFont="1" applyBorder="1" applyAlignment="1">
      <alignment wrapText="1"/>
    </xf>
    <xf numFmtId="3" fontId="1" fillId="0" borderId="15" xfId="2" applyNumberFormat="1" applyFont="1" applyBorder="1" applyAlignment="1">
      <alignment vertical="center"/>
    </xf>
    <xf numFmtId="3" fontId="1" fillId="0" borderId="17" xfId="2" applyNumberFormat="1" applyFont="1" applyBorder="1" applyAlignment="1">
      <alignment vertical="center"/>
    </xf>
    <xf numFmtId="3" fontId="24" fillId="6" borderId="1" xfId="2" applyNumberFormat="1" applyFont="1" applyFill="1" applyBorder="1" applyAlignment="1">
      <alignment vertical="center"/>
    </xf>
    <xf numFmtId="3" fontId="24" fillId="6" borderId="9" xfId="2" applyNumberFormat="1" applyFont="1" applyFill="1" applyBorder="1" applyAlignment="1">
      <alignment vertical="center"/>
    </xf>
    <xf numFmtId="0" fontId="1" fillId="0" borderId="18" xfId="2" applyFont="1" applyBorder="1" applyAlignment="1">
      <alignment horizontal="center" vertical="center"/>
    </xf>
    <xf numFmtId="0" fontId="1" fillId="0" borderId="19" xfId="13" applyFont="1" applyBorder="1" applyAlignment="1">
      <alignment vertical="center" wrapText="1"/>
    </xf>
    <xf numFmtId="3" fontId="1" fillId="0" borderId="20" xfId="2" applyNumberFormat="1" applyFont="1" applyBorder="1" applyAlignment="1">
      <alignment vertical="center"/>
    </xf>
    <xf numFmtId="3" fontId="1" fillId="0" borderId="21" xfId="2" applyNumberFormat="1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0" fontId="1" fillId="0" borderId="13" xfId="13" applyFont="1" applyBorder="1" applyAlignment="1">
      <alignment vertical="center" wrapText="1"/>
    </xf>
    <xf numFmtId="3" fontId="1" fillId="0" borderId="11" xfId="2" applyNumberFormat="1" applyFont="1" applyBorder="1" applyAlignment="1">
      <alignment vertical="center"/>
    </xf>
    <xf numFmtId="3" fontId="1" fillId="0" borderId="22" xfId="2" applyNumberFormat="1" applyFont="1" applyBorder="1" applyAlignment="1">
      <alignment vertical="center"/>
    </xf>
    <xf numFmtId="0" fontId="1" fillId="0" borderId="14" xfId="13" applyFont="1" applyBorder="1" applyAlignment="1">
      <alignment vertical="center" wrapText="1"/>
    </xf>
    <xf numFmtId="0" fontId="25" fillId="0" borderId="0" xfId="2" applyFont="1"/>
    <xf numFmtId="0" fontId="1" fillId="0" borderId="1" xfId="2" applyFont="1" applyBorder="1" applyAlignment="1">
      <alignment horizontal="center"/>
    </xf>
    <xf numFmtId="0" fontId="1" fillId="0" borderId="19" xfId="13" applyFont="1" applyBorder="1"/>
    <xf numFmtId="0" fontId="1" fillId="0" borderId="13" xfId="13" applyFont="1" applyBorder="1"/>
    <xf numFmtId="3" fontId="25" fillId="0" borderId="0" xfId="2" applyNumberFormat="1" applyFont="1"/>
    <xf numFmtId="0" fontId="1" fillId="0" borderId="14" xfId="13" applyFont="1" applyBorder="1"/>
    <xf numFmtId="0" fontId="1" fillId="0" borderId="1" xfId="2" applyFont="1" applyBorder="1" applyAlignment="1">
      <alignment horizontal="center" vertical="center"/>
    </xf>
    <xf numFmtId="0" fontId="1" fillId="0" borderId="19" xfId="13" applyFont="1" applyBorder="1" applyAlignment="1">
      <alignment wrapText="1"/>
    </xf>
    <xf numFmtId="3" fontId="23" fillId="5" borderId="1" xfId="2" applyNumberFormat="1" applyFont="1" applyFill="1" applyBorder="1" applyAlignment="1">
      <alignment vertical="center"/>
    </xf>
    <xf numFmtId="0" fontId="26" fillId="0" borderId="0" xfId="2" applyFont="1" applyAlignment="1">
      <alignment horizontal="center"/>
    </xf>
    <xf numFmtId="3" fontId="27" fillId="0" borderId="0" xfId="2" applyNumberFormat="1" applyFont="1"/>
    <xf numFmtId="0" fontId="28" fillId="0" borderId="0" xfId="2" applyFont="1" applyAlignment="1">
      <alignment horizontal="center"/>
    </xf>
    <xf numFmtId="0" fontId="28" fillId="0" borderId="0" xfId="13" applyFont="1" applyAlignment="1">
      <alignment wrapText="1"/>
    </xf>
    <xf numFmtId="3" fontId="28" fillId="0" borderId="0" xfId="2" applyNumberFormat="1" applyFont="1"/>
    <xf numFmtId="0" fontId="20" fillId="4" borderId="5" xfId="0" applyFont="1" applyFill="1" applyBorder="1" applyAlignment="1">
      <alignment horizontal="center" vertical="top" wrapText="1"/>
    </xf>
    <xf numFmtId="0" fontId="20" fillId="4" borderId="9" xfId="0" applyFont="1" applyFill="1" applyBorder="1" applyAlignment="1">
      <alignment horizontal="center" vertical="top" wrapText="1"/>
    </xf>
    <xf numFmtId="0" fontId="20" fillId="4" borderId="1" xfId="0" applyFont="1" applyFill="1" applyBorder="1" applyAlignment="1">
      <alignment horizontal="center" vertical="top" wrapText="1"/>
    </xf>
    <xf numFmtId="3" fontId="12" fillId="4" borderId="9" xfId="0" applyNumberFormat="1" applyFont="1" applyFill="1" applyBorder="1" applyAlignment="1">
      <alignment horizontal="right" vertical="center" wrapText="1"/>
    </xf>
    <xf numFmtId="3" fontId="18" fillId="3" borderId="9" xfId="0" applyNumberFormat="1" applyFont="1" applyFill="1" applyBorder="1" applyAlignment="1">
      <alignment horizontal="right" vertical="center" wrapText="1"/>
    </xf>
    <xf numFmtId="3" fontId="10" fillId="3" borderId="9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horizontal="right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3" fontId="11" fillId="3" borderId="9" xfId="0" applyNumberFormat="1" applyFont="1" applyFill="1" applyBorder="1" applyAlignment="1">
      <alignment horizontal="right" vertical="center" wrapText="1"/>
    </xf>
    <xf numFmtId="49" fontId="12" fillId="2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4" fillId="0" borderId="0" xfId="0" applyFont="1" applyAlignment="1">
      <alignment horizontal="right" vertical="center" wrapText="1"/>
    </xf>
    <xf numFmtId="3" fontId="19" fillId="0" borderId="1" xfId="0" applyNumberFormat="1" applyFont="1" applyBorder="1" applyAlignment="1">
      <alignment vertical="center" wrapText="1"/>
    </xf>
    <xf numFmtId="3" fontId="19" fillId="0" borderId="2" xfId="0" applyNumberFormat="1" applyFont="1" applyBorder="1" applyAlignment="1">
      <alignment vertical="center" wrapText="1"/>
    </xf>
    <xf numFmtId="3" fontId="19" fillId="0" borderId="3" xfId="0" applyNumberFormat="1" applyFont="1" applyBorder="1" applyAlignment="1">
      <alignment vertical="center" wrapText="1"/>
    </xf>
    <xf numFmtId="0" fontId="19" fillId="0" borderId="23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vertical="center" wrapText="1"/>
    </xf>
    <xf numFmtId="0" fontId="19" fillId="0" borderId="24" xfId="0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vertical="center" wrapText="1"/>
    </xf>
    <xf numFmtId="3" fontId="19" fillId="0" borderId="4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right" vertical="top" wrapText="1"/>
    </xf>
    <xf numFmtId="0" fontId="19" fillId="0" borderId="15" xfId="0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3" fontId="29" fillId="4" borderId="9" xfId="0" applyNumberFormat="1" applyFont="1" applyFill="1" applyBorder="1" applyAlignment="1">
      <alignment horizontal="right" vertical="center" wrapText="1"/>
    </xf>
    <xf numFmtId="49" fontId="20" fillId="3" borderId="6" xfId="0" applyNumberFormat="1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top" wrapText="1"/>
    </xf>
    <xf numFmtId="3" fontId="19" fillId="0" borderId="15" xfId="0" applyNumberFormat="1" applyFont="1" applyFill="1" applyBorder="1" applyAlignment="1">
      <alignment horizontal="right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3" fontId="19" fillId="0" borderId="2" xfId="0" applyNumberFormat="1" applyFont="1" applyFill="1" applyBorder="1" applyAlignment="1">
      <alignment horizontal="right" vertical="top" wrapText="1"/>
    </xf>
    <xf numFmtId="3" fontId="19" fillId="0" borderId="5" xfId="0" applyNumberFormat="1" applyFont="1" applyBorder="1" applyAlignment="1">
      <alignment vertical="center" wrapText="1"/>
    </xf>
    <xf numFmtId="3" fontId="19" fillId="0" borderId="9" xfId="0" applyNumberFormat="1" applyFont="1" applyBorder="1" applyAlignment="1">
      <alignment vertical="center" wrapText="1"/>
    </xf>
    <xf numFmtId="3" fontId="19" fillId="0" borderId="0" xfId="0" applyNumberFormat="1" applyFont="1" applyBorder="1" applyAlignment="1">
      <alignment vertical="center" wrapText="1"/>
    </xf>
    <xf numFmtId="3" fontId="19" fillId="0" borderId="16" xfId="0" applyNumberFormat="1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 wrapText="1"/>
    </xf>
    <xf numFmtId="3" fontId="19" fillId="0" borderId="29" xfId="0" applyNumberFormat="1" applyFont="1" applyBorder="1" applyAlignment="1">
      <alignment vertical="center" wrapText="1"/>
    </xf>
    <xf numFmtId="3" fontId="19" fillId="0" borderId="13" xfId="0" applyNumberFormat="1" applyFont="1" applyBorder="1" applyAlignment="1">
      <alignment vertical="center" wrapText="1"/>
    </xf>
    <xf numFmtId="3" fontId="19" fillId="0" borderId="22" xfId="0" applyNumberFormat="1" applyFont="1" applyBorder="1" applyAlignment="1">
      <alignment vertical="center" wrapText="1"/>
    </xf>
    <xf numFmtId="0" fontId="19" fillId="0" borderId="30" xfId="0" applyFont="1" applyFill="1" applyBorder="1" applyAlignment="1">
      <alignment horizontal="center" vertical="top" wrapText="1"/>
    </xf>
    <xf numFmtId="49" fontId="19" fillId="0" borderId="30" xfId="0" applyNumberFormat="1" applyFont="1" applyFill="1" applyBorder="1" applyAlignment="1">
      <alignment horizontal="center" vertical="top" wrapText="1"/>
    </xf>
    <xf numFmtId="3" fontId="30" fillId="0" borderId="2" xfId="0" applyNumberFormat="1" applyFont="1" applyFill="1" applyBorder="1" applyAlignment="1">
      <alignment horizontal="right" vertical="top" wrapText="1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3" fontId="19" fillId="0" borderId="30" xfId="0" applyNumberFormat="1" applyFont="1" applyBorder="1" applyAlignment="1">
      <alignment vertical="center" wrapText="1"/>
    </xf>
    <xf numFmtId="3" fontId="19" fillId="0" borderId="31" xfId="0" applyNumberFormat="1" applyFont="1" applyBorder="1" applyAlignment="1">
      <alignment vertical="center" wrapText="1"/>
    </xf>
    <xf numFmtId="3" fontId="19" fillId="0" borderId="19" xfId="0" applyNumberFormat="1" applyFont="1" applyBorder="1" applyAlignment="1">
      <alignment vertical="center" wrapText="1"/>
    </xf>
    <xf numFmtId="3" fontId="19" fillId="0" borderId="21" xfId="0" applyNumberFormat="1" applyFont="1" applyBorder="1" applyAlignment="1">
      <alignment vertical="center" wrapText="1"/>
    </xf>
    <xf numFmtId="3" fontId="19" fillId="0" borderId="32" xfId="0" applyNumberFormat="1" applyFont="1" applyBorder="1" applyAlignment="1">
      <alignment vertical="center" wrapText="1"/>
    </xf>
    <xf numFmtId="3" fontId="19" fillId="0" borderId="33" xfId="0" applyNumberFormat="1" applyFont="1" applyBorder="1" applyAlignment="1">
      <alignment vertical="center" wrapText="1"/>
    </xf>
    <xf numFmtId="3" fontId="19" fillId="0" borderId="27" xfId="0" applyNumberFormat="1" applyFont="1" applyBorder="1" applyAlignment="1">
      <alignment vertical="center" wrapText="1"/>
    </xf>
    <xf numFmtId="3" fontId="19" fillId="0" borderId="34" xfId="0" applyNumberFormat="1" applyFont="1" applyBorder="1" applyAlignment="1">
      <alignment vertical="center" wrapText="1"/>
    </xf>
    <xf numFmtId="49" fontId="12" fillId="2" borderId="4" xfId="0" applyNumberFormat="1" applyFont="1" applyFill="1" applyBorder="1" applyAlignment="1">
      <alignment horizontal="right" vertical="center" wrapText="1"/>
    </xf>
    <xf numFmtId="3" fontId="12" fillId="2" borderId="4" xfId="0" applyNumberFormat="1" applyFont="1" applyFill="1" applyBorder="1" applyAlignment="1">
      <alignment horizontal="right" vertical="center" wrapText="1"/>
    </xf>
    <xf numFmtId="3" fontId="12" fillId="2" borderId="10" xfId="0" applyNumberFormat="1" applyFont="1" applyFill="1" applyBorder="1" applyAlignment="1">
      <alignment horizontal="right" vertical="center" wrapText="1"/>
    </xf>
    <xf numFmtId="0" fontId="19" fillId="0" borderId="6" xfId="0" applyFont="1" applyFill="1" applyBorder="1" applyAlignment="1">
      <alignment horizontal="center" vertical="top" wrapText="1"/>
    </xf>
    <xf numFmtId="0" fontId="23" fillId="5" borderId="6" xfId="2" applyFont="1" applyFill="1" applyBorder="1" applyAlignment="1">
      <alignment horizontal="center" vertical="center"/>
    </xf>
    <xf numFmtId="0" fontId="23" fillId="5" borderId="5" xfId="2" applyFont="1" applyFill="1" applyBorder="1" applyAlignment="1">
      <alignment horizontal="center" vertical="center"/>
    </xf>
    <xf numFmtId="49" fontId="21" fillId="3" borderId="1" xfId="0" applyNumberFormat="1" applyFont="1" applyFill="1" applyBorder="1" applyAlignment="1">
      <alignment horizontal="center" vertical="center" wrapText="1"/>
    </xf>
    <xf numFmtId="3" fontId="23" fillId="5" borderId="1" xfId="2" applyNumberFormat="1" applyFont="1" applyFill="1" applyBorder="1" applyAlignment="1">
      <alignment horizontal="right" vertical="center"/>
    </xf>
    <xf numFmtId="0" fontId="1" fillId="0" borderId="0" xfId="2" applyFont="1" applyAlignment="1">
      <alignment wrapText="1"/>
    </xf>
    <xf numFmtId="0" fontId="10" fillId="3" borderId="6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4" fillId="6" borderId="6" xfId="2" applyFont="1" applyFill="1" applyBorder="1" applyAlignment="1">
      <alignment horizontal="left"/>
    </xf>
    <xf numFmtId="0" fontId="24" fillId="6" borderId="5" xfId="2" applyFont="1" applyFill="1" applyBorder="1" applyAlignment="1">
      <alignment horizontal="left"/>
    </xf>
    <xf numFmtId="0" fontId="23" fillId="5" borderId="6" xfId="2" applyFont="1" applyFill="1" applyBorder="1" applyAlignment="1">
      <alignment horizontal="center" vertical="center"/>
    </xf>
    <xf numFmtId="0" fontId="23" fillId="5" borderId="5" xfId="2" applyFont="1" applyFill="1" applyBorder="1" applyAlignment="1">
      <alignment horizontal="center" vertical="center"/>
    </xf>
    <xf numFmtId="0" fontId="22" fillId="0" borderId="0" xfId="2" applyFont="1" applyAlignment="1">
      <alignment horizontal="right" vertical="center" wrapText="1"/>
    </xf>
    <xf numFmtId="0" fontId="21" fillId="0" borderId="10" xfId="2" applyFont="1" applyBorder="1" applyAlignment="1">
      <alignment horizontal="center" vertical="center" wrapText="1"/>
    </xf>
    <xf numFmtId="0" fontId="31" fillId="0" borderId="0" xfId="2" applyFont="1" applyAlignment="1">
      <alignment horizontal="right" vertical="center" wrapText="1"/>
    </xf>
  </cellXfs>
  <cellStyles count="14">
    <cellStyle name="Normalny" xfId="0" builtinId="0"/>
    <cellStyle name="Normalny 2" xfId="1" xr:uid="{00000000-0005-0000-0000-000001000000}"/>
    <cellStyle name="Normalny 2 2" xfId="2" xr:uid="{00000000-0005-0000-0000-000002000000}"/>
    <cellStyle name="Normalny 3" xfId="3" xr:uid="{00000000-0005-0000-0000-000003000000}"/>
    <cellStyle name="Normalny 3 2" xfId="4" xr:uid="{00000000-0005-0000-0000-000004000000}"/>
    <cellStyle name="Normalny 3 2 2" xfId="5" xr:uid="{00000000-0005-0000-0000-000005000000}"/>
    <cellStyle name="Normalny 4" xfId="6" xr:uid="{00000000-0005-0000-0000-000006000000}"/>
    <cellStyle name="Normalny 5" xfId="7" xr:uid="{00000000-0005-0000-0000-000007000000}"/>
    <cellStyle name="Normalny 5 2" xfId="12" xr:uid="{00000000-0005-0000-0000-000008000000}"/>
    <cellStyle name="Normalny 6" xfId="8" xr:uid="{00000000-0005-0000-0000-000009000000}"/>
    <cellStyle name="Normalny 7" xfId="11" xr:uid="{00000000-0005-0000-0000-00000A000000}"/>
    <cellStyle name="Normalny_Arkusz1" xfId="13" xr:uid="{00000000-0005-0000-0000-00000B000000}"/>
    <cellStyle name="Procentowy 2" xfId="9" xr:uid="{00000000-0005-0000-0000-00000C000000}"/>
    <cellStyle name="Walutowy 2" xfId="10" xr:uid="{00000000-0005-0000-0000-00000D000000}"/>
  </cellStyles>
  <dxfs count="0"/>
  <tableStyles count="0" defaultTableStyle="TableStyleMedium9" defaultPivotStyle="PivotStyleLight16"/>
  <colors>
    <mruColors>
      <color rgb="FFCCFFFF"/>
      <color rgb="FFFFFF99"/>
      <color rgb="FF66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3AA0D-9D52-41BE-9841-2856F7792BCA}">
  <dimension ref="A1:I24"/>
  <sheetViews>
    <sheetView view="pageBreakPreview" zoomScaleSheetLayoutView="100" workbookViewId="0">
      <selection activeCell="U3" sqref="U3"/>
    </sheetView>
  </sheetViews>
  <sheetFormatPr defaultRowHeight="14.25"/>
  <cols>
    <col min="1" max="1" width="7" customWidth="1"/>
    <col min="2" max="2" width="12.3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</cols>
  <sheetData>
    <row r="1" spans="1:9" ht="74.25" customHeight="1">
      <c r="A1" s="144" t="s">
        <v>53</v>
      </c>
      <c r="B1" s="144"/>
      <c r="C1" s="144"/>
      <c r="D1" s="144"/>
      <c r="E1" s="144"/>
      <c r="F1" s="144"/>
    </row>
    <row r="2" spans="1:9" ht="10.5" customHeight="1">
      <c r="A2" s="9"/>
      <c r="B2" s="9"/>
      <c r="C2" s="69"/>
      <c r="D2" s="69"/>
      <c r="E2" s="69"/>
      <c r="F2" s="69"/>
    </row>
    <row r="3" spans="1:9" ht="22.5" customHeight="1">
      <c r="A3" s="145" t="s">
        <v>39</v>
      </c>
      <c r="B3" s="145"/>
      <c r="C3" s="145"/>
      <c r="D3" s="145"/>
      <c r="E3" s="145"/>
      <c r="F3" s="145"/>
    </row>
    <row r="4" spans="1:9" ht="13.5" customHeight="1" thickBot="1">
      <c r="A4" s="146"/>
      <c r="B4" s="146"/>
      <c r="C4" s="146"/>
      <c r="D4" s="146"/>
      <c r="E4" s="146"/>
      <c r="F4" s="146"/>
    </row>
    <row r="5" spans="1:9" ht="24.75" customHeight="1" thickBot="1">
      <c r="A5" s="147" t="s">
        <v>40</v>
      </c>
      <c r="B5" s="148"/>
      <c r="C5" s="148"/>
      <c r="D5" s="148"/>
      <c r="E5" s="148"/>
      <c r="F5" s="149"/>
    </row>
    <row r="6" spans="1:9" ht="19.5" customHeight="1" thickBot="1">
      <c r="A6" s="150" t="s">
        <v>0</v>
      </c>
      <c r="B6" s="152" t="s">
        <v>1</v>
      </c>
      <c r="C6" s="154" t="s">
        <v>7</v>
      </c>
      <c r="D6" s="154"/>
      <c r="E6" s="155" t="s">
        <v>6</v>
      </c>
      <c r="F6" s="156"/>
    </row>
    <row r="7" spans="1:9" ht="18.75" customHeight="1" thickBot="1">
      <c r="A7" s="151"/>
      <c r="B7" s="153"/>
      <c r="C7" s="54" t="s">
        <v>5</v>
      </c>
      <c r="D7" s="56" t="s">
        <v>4</v>
      </c>
      <c r="E7" s="56" t="s">
        <v>5</v>
      </c>
      <c r="F7" s="55" t="s">
        <v>4</v>
      </c>
    </row>
    <row r="8" spans="1:9" ht="18.75" customHeight="1" thickBot="1">
      <c r="A8" s="115" t="s">
        <v>44</v>
      </c>
      <c r="B8" s="113" t="s">
        <v>43</v>
      </c>
      <c r="C8" s="110">
        <v>6290</v>
      </c>
      <c r="D8" s="101">
        <v>-25917306</v>
      </c>
      <c r="E8" s="111"/>
      <c r="F8" s="101">
        <v>0</v>
      </c>
    </row>
    <row r="9" spans="1:9" ht="18.75" customHeight="1" thickBot="1">
      <c r="A9" s="142" t="s">
        <v>50</v>
      </c>
      <c r="B9" s="113" t="s">
        <v>77</v>
      </c>
      <c r="C9" s="110"/>
      <c r="D9" s="101">
        <v>0</v>
      </c>
      <c r="E9" s="111" t="s">
        <v>78</v>
      </c>
      <c r="F9" s="112">
        <v>404603</v>
      </c>
    </row>
    <row r="10" spans="1:9" ht="18.75" customHeight="1" thickBot="1">
      <c r="A10" s="143"/>
      <c r="B10" s="12" t="s">
        <v>46</v>
      </c>
      <c r="C10" s="128">
        <v>2009</v>
      </c>
      <c r="D10" s="88">
        <v>-5712784</v>
      </c>
      <c r="E10" s="94" t="s">
        <v>55</v>
      </c>
      <c r="F10" s="88">
        <v>729727</v>
      </c>
    </row>
    <row r="11" spans="1:9" ht="18.75" customHeight="1" thickBot="1">
      <c r="A11" s="115" t="s">
        <v>45</v>
      </c>
      <c r="B11" s="113" t="s">
        <v>57</v>
      </c>
      <c r="C11" s="98">
        <v>2051</v>
      </c>
      <c r="D11" s="99">
        <f>-198910-2429-34495-4783</f>
        <v>-240617</v>
      </c>
      <c r="E11" s="100"/>
      <c r="F11" s="99">
        <v>0</v>
      </c>
    </row>
    <row r="12" spans="1:9" ht="18.75" customHeight="1" thickBot="1">
      <c r="A12" s="93" t="s">
        <v>49</v>
      </c>
      <c r="B12" s="12" t="s">
        <v>76</v>
      </c>
      <c r="C12" s="128"/>
      <c r="D12" s="88">
        <v>0</v>
      </c>
      <c r="E12" s="94" t="s">
        <v>75</v>
      </c>
      <c r="F12" s="88">
        <v>960000</v>
      </c>
      <c r="G12" s="1"/>
    </row>
    <row r="13" spans="1:9" ht="21" customHeight="1" thickBot="1">
      <c r="A13" s="137" t="s">
        <v>3</v>
      </c>
      <c r="B13" s="138"/>
      <c r="C13" s="125"/>
      <c r="D13" s="126">
        <f>SUM(D8:D12)</f>
        <v>-31870707</v>
      </c>
      <c r="E13" s="127"/>
      <c r="F13" s="126">
        <f>SUM(F8:F12)</f>
        <v>2094330</v>
      </c>
      <c r="G13" s="1">
        <f>SUM(D13:F13)</f>
        <v>-29776377</v>
      </c>
      <c r="I13" s="4"/>
    </row>
    <row r="14" spans="1:9" ht="19.5" customHeight="1" thickBot="1">
      <c r="A14" s="139" t="s">
        <v>2</v>
      </c>
      <c r="B14" s="140"/>
      <c r="C14" s="66"/>
      <c r="D14" s="57"/>
      <c r="E14" s="61"/>
      <c r="F14" s="92"/>
      <c r="G14" s="1"/>
      <c r="I14" s="4"/>
    </row>
    <row r="15" spans="1:9" ht="19.5" customHeight="1" thickBot="1">
      <c r="A15" s="141" t="s">
        <v>41</v>
      </c>
      <c r="B15" s="141"/>
      <c r="C15" s="67"/>
      <c r="D15" s="64">
        <f>SUM(D10:D11)</f>
        <v>-5953401</v>
      </c>
      <c r="E15" s="62"/>
      <c r="F15" s="58">
        <f>SUM(F9)</f>
        <v>404603</v>
      </c>
      <c r="G15" s="1"/>
      <c r="I15" s="4"/>
    </row>
    <row r="16" spans="1:9" ht="21.75" customHeight="1" thickBot="1">
      <c r="A16" s="134" t="s">
        <v>42</v>
      </c>
      <c r="B16" s="135"/>
      <c r="C16" s="68"/>
      <c r="D16" s="59">
        <f>SUM(D8)</f>
        <v>-25917306</v>
      </c>
      <c r="E16" s="63"/>
      <c r="F16" s="59">
        <f>SUM(F10:F12)</f>
        <v>1689727</v>
      </c>
      <c r="G16" s="1"/>
      <c r="H16" s="1"/>
    </row>
    <row r="17" spans="1:8" ht="15">
      <c r="B17" s="3"/>
      <c r="C17" s="8"/>
      <c r="D17" s="7">
        <f>SUM(D15:D16)</f>
        <v>-31870707</v>
      </c>
      <c r="E17" s="7"/>
      <c r="F17" s="7">
        <f>SUM(F15:F16)</f>
        <v>2094330</v>
      </c>
      <c r="G17" s="1"/>
      <c r="H17" s="1"/>
    </row>
    <row r="18" spans="1:8" ht="15">
      <c r="B18" s="2"/>
      <c r="C18" s="2"/>
      <c r="D18" s="7">
        <f>D13-D17</f>
        <v>0</v>
      </c>
      <c r="E18" s="7"/>
      <c r="F18" s="7">
        <f t="shared" ref="F18" si="0">F13-F17</f>
        <v>0</v>
      </c>
      <c r="H18" s="1"/>
    </row>
    <row r="19" spans="1:8" ht="15">
      <c r="C19" s="1"/>
      <c r="D19" s="7"/>
      <c r="E19" s="7"/>
      <c r="F19" s="7"/>
      <c r="G19" s="1"/>
    </row>
    <row r="20" spans="1:8">
      <c r="C20" s="6"/>
      <c r="D20" s="1"/>
      <c r="E20" s="1"/>
    </row>
    <row r="21" spans="1:8">
      <c r="C21" s="5"/>
      <c r="D21" s="5"/>
      <c r="E21" s="1"/>
    </row>
    <row r="22" spans="1:8" ht="198" customHeight="1">
      <c r="A22" s="136"/>
      <c r="B22" s="136"/>
      <c r="C22" s="136"/>
      <c r="D22" s="136"/>
      <c r="E22" s="136"/>
      <c r="F22" s="136"/>
    </row>
    <row r="23" spans="1:8">
      <c r="E23" s="1"/>
    </row>
    <row r="24" spans="1:8">
      <c r="C24" s="5"/>
    </row>
  </sheetData>
  <mergeCells count="14">
    <mergeCell ref="A9:A10"/>
    <mergeCell ref="A1:F1"/>
    <mergeCell ref="A3:F3"/>
    <mergeCell ref="A4:F4"/>
    <mergeCell ref="A5:F5"/>
    <mergeCell ref="A6:A7"/>
    <mergeCell ref="B6:B7"/>
    <mergeCell ref="C6:D6"/>
    <mergeCell ref="E6:F6"/>
    <mergeCell ref="A16:B16"/>
    <mergeCell ref="A22:F22"/>
    <mergeCell ref="A13:B13"/>
    <mergeCell ref="A14:B14"/>
    <mergeCell ref="A15:B15"/>
  </mergeCells>
  <printOptions horizontalCentered="1"/>
  <pageMargins left="0.70866141732283472" right="0.51181102362204722" top="0.35433070866141736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6DF3A-5F7E-477F-A642-7F6D957C52EE}">
  <dimension ref="A1:I105"/>
  <sheetViews>
    <sheetView view="pageBreakPreview" zoomScaleSheetLayoutView="100" workbookViewId="0">
      <selection sqref="A1:F1"/>
    </sheetView>
  </sheetViews>
  <sheetFormatPr defaultRowHeight="14.25"/>
  <cols>
    <col min="1" max="1" width="7" customWidth="1"/>
    <col min="2" max="2" width="10.8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  <col min="9" max="9" width="10.5" bestFit="1" customWidth="1"/>
  </cols>
  <sheetData>
    <row r="1" spans="1:7" ht="74.25" customHeight="1">
      <c r="A1" s="144" t="s">
        <v>54</v>
      </c>
      <c r="B1" s="144"/>
      <c r="C1" s="144"/>
      <c r="D1" s="144"/>
      <c r="E1" s="144"/>
      <c r="F1" s="144"/>
    </row>
    <row r="2" spans="1:7" ht="10.5" customHeight="1">
      <c r="A2" s="9"/>
      <c r="B2" s="9"/>
      <c r="C2" s="69"/>
      <c r="D2" s="69"/>
      <c r="E2" s="69"/>
      <c r="F2" s="69"/>
    </row>
    <row r="3" spans="1:7" ht="22.5" customHeight="1">
      <c r="A3" s="145" t="s">
        <v>9</v>
      </c>
      <c r="B3" s="145"/>
      <c r="C3" s="145"/>
      <c r="D3" s="145"/>
      <c r="E3" s="145"/>
      <c r="F3" s="145"/>
    </row>
    <row r="4" spans="1:7" ht="6.75" customHeight="1" thickBot="1">
      <c r="A4" s="146"/>
      <c r="B4" s="146"/>
      <c r="C4" s="146"/>
      <c r="D4" s="146"/>
      <c r="E4" s="146"/>
      <c r="F4" s="146"/>
    </row>
    <row r="5" spans="1:7" ht="24.75" customHeight="1" thickBot="1">
      <c r="A5" s="147" t="s">
        <v>8</v>
      </c>
      <c r="B5" s="148"/>
      <c r="C5" s="148"/>
      <c r="D5" s="148"/>
      <c r="E5" s="148"/>
      <c r="F5" s="149"/>
    </row>
    <row r="6" spans="1:7" ht="19.5" customHeight="1" thickBot="1">
      <c r="A6" s="150" t="s">
        <v>0</v>
      </c>
      <c r="B6" s="152" t="s">
        <v>1</v>
      </c>
      <c r="C6" s="154" t="s">
        <v>7</v>
      </c>
      <c r="D6" s="154"/>
      <c r="E6" s="155" t="s">
        <v>6</v>
      </c>
      <c r="F6" s="156"/>
    </row>
    <row r="7" spans="1:7" ht="18.75" customHeight="1" thickBot="1">
      <c r="A7" s="151"/>
      <c r="B7" s="153"/>
      <c r="C7" s="54" t="s">
        <v>5</v>
      </c>
      <c r="D7" s="56" t="s">
        <v>4</v>
      </c>
      <c r="E7" s="56" t="s">
        <v>5</v>
      </c>
      <c r="F7" s="55" t="s">
        <v>4</v>
      </c>
    </row>
    <row r="8" spans="1:7" ht="15.75" customHeight="1" thickBot="1">
      <c r="A8" s="12" t="s">
        <v>44</v>
      </c>
      <c r="B8" s="12" t="s">
        <v>43</v>
      </c>
      <c r="C8" s="83">
        <v>6050</v>
      </c>
      <c r="D8" s="70">
        <f>-21205068-25917306</f>
        <v>-47122374</v>
      </c>
      <c r="E8" s="82"/>
      <c r="F8" s="70">
        <v>0</v>
      </c>
    </row>
    <row r="9" spans="1:7" ht="15.75" customHeight="1" thickBot="1">
      <c r="A9" s="12" t="s">
        <v>58</v>
      </c>
      <c r="B9" s="131" t="s">
        <v>59</v>
      </c>
      <c r="C9" s="85"/>
      <c r="D9" s="72">
        <v>0</v>
      </c>
      <c r="E9" s="78">
        <v>6220</v>
      </c>
      <c r="F9" s="72">
        <v>125269</v>
      </c>
    </row>
    <row r="10" spans="1:7" ht="15.75" customHeight="1">
      <c r="A10" s="142" t="s">
        <v>56</v>
      </c>
      <c r="B10" s="142" t="s">
        <v>60</v>
      </c>
      <c r="C10" s="84"/>
      <c r="D10" s="71">
        <v>0</v>
      </c>
      <c r="E10" s="80">
        <v>4018</v>
      </c>
      <c r="F10" s="71">
        <v>83678</v>
      </c>
      <c r="G10" s="1"/>
    </row>
    <row r="11" spans="1:7" ht="15.75" customHeight="1">
      <c r="A11" s="157"/>
      <c r="B11" s="157"/>
      <c r="C11" s="81"/>
      <c r="D11" s="74">
        <v>0</v>
      </c>
      <c r="E11" s="73">
        <v>4019</v>
      </c>
      <c r="F11" s="74">
        <f>15690+5230</f>
        <v>20920</v>
      </c>
    </row>
    <row r="12" spans="1:7" ht="15.75" customHeight="1">
      <c r="A12" s="157"/>
      <c r="B12" s="157"/>
      <c r="C12" s="85"/>
      <c r="D12" s="72">
        <v>0</v>
      </c>
      <c r="E12" s="78">
        <v>4048</v>
      </c>
      <c r="F12" s="72">
        <v>4941</v>
      </c>
    </row>
    <row r="13" spans="1:7" ht="15.75" customHeight="1">
      <c r="A13" s="157"/>
      <c r="B13" s="157"/>
      <c r="C13" s="81"/>
      <c r="D13" s="74">
        <v>0</v>
      </c>
      <c r="E13" s="73">
        <v>4049</v>
      </c>
      <c r="F13" s="74">
        <f>926+309</f>
        <v>1235</v>
      </c>
    </row>
    <row r="14" spans="1:7" ht="15.75" customHeight="1">
      <c r="A14" s="157"/>
      <c r="B14" s="157"/>
      <c r="C14" s="85"/>
      <c r="D14" s="72">
        <v>0</v>
      </c>
      <c r="E14" s="78">
        <v>4118</v>
      </c>
      <c r="F14" s="72">
        <v>15234</v>
      </c>
    </row>
    <row r="15" spans="1:7" ht="15.75" customHeight="1">
      <c r="A15" s="157"/>
      <c r="B15" s="157"/>
      <c r="C15" s="89"/>
      <c r="D15" s="90">
        <v>0</v>
      </c>
      <c r="E15" s="91">
        <v>4119</v>
      </c>
      <c r="F15" s="90">
        <f>2856+952</f>
        <v>3808</v>
      </c>
    </row>
    <row r="16" spans="1:7" ht="15.75" customHeight="1">
      <c r="A16" s="157"/>
      <c r="B16" s="157"/>
      <c r="C16" s="81"/>
      <c r="D16" s="74">
        <v>0</v>
      </c>
      <c r="E16" s="73">
        <v>4128</v>
      </c>
      <c r="F16" s="74">
        <v>2171</v>
      </c>
    </row>
    <row r="17" spans="1:8" ht="15.75" customHeight="1">
      <c r="A17" s="157"/>
      <c r="B17" s="157"/>
      <c r="C17" s="81"/>
      <c r="D17" s="74">
        <v>0</v>
      </c>
      <c r="E17" s="73">
        <v>4129</v>
      </c>
      <c r="F17" s="74">
        <f>407+136</f>
        <v>543</v>
      </c>
    </row>
    <row r="18" spans="1:8" ht="15.75" customHeight="1">
      <c r="A18" s="157"/>
      <c r="B18" s="157"/>
      <c r="C18" s="85"/>
      <c r="D18" s="72">
        <v>0</v>
      </c>
      <c r="E18" s="78">
        <v>4218</v>
      </c>
      <c r="F18" s="72">
        <v>36430</v>
      </c>
      <c r="G18" s="1"/>
    </row>
    <row r="19" spans="1:8" ht="15.75" customHeight="1">
      <c r="A19" s="157"/>
      <c r="B19" s="157"/>
      <c r="C19" s="81"/>
      <c r="D19" s="74">
        <v>0</v>
      </c>
      <c r="E19" s="73">
        <v>4219</v>
      </c>
      <c r="F19" s="74">
        <f>6831+2277</f>
        <v>9108</v>
      </c>
    </row>
    <row r="20" spans="1:8" ht="15.75" customHeight="1">
      <c r="A20" s="157"/>
      <c r="B20" s="157"/>
      <c r="C20" s="85"/>
      <c r="D20" s="72">
        <v>0</v>
      </c>
      <c r="E20" s="78">
        <v>4308</v>
      </c>
      <c r="F20" s="72">
        <v>45712</v>
      </c>
      <c r="G20" s="1"/>
    </row>
    <row r="21" spans="1:8" ht="15.75" customHeight="1">
      <c r="A21" s="157"/>
      <c r="B21" s="157"/>
      <c r="C21" s="81"/>
      <c r="D21" s="74">
        <v>0</v>
      </c>
      <c r="E21" s="73">
        <v>4309</v>
      </c>
      <c r="F21" s="74">
        <f>8571+2857</f>
        <v>11428</v>
      </c>
      <c r="G21" s="1"/>
      <c r="H21" s="1"/>
    </row>
    <row r="22" spans="1:8" ht="15.75" customHeight="1">
      <c r="A22" s="157"/>
      <c r="B22" s="157"/>
      <c r="C22" s="85"/>
      <c r="D22" s="72">
        <v>0</v>
      </c>
      <c r="E22" s="78">
        <v>4418</v>
      </c>
      <c r="F22" s="72">
        <v>1268</v>
      </c>
    </row>
    <row r="23" spans="1:8" ht="15.75" customHeight="1">
      <c r="A23" s="157"/>
      <c r="B23" s="157"/>
      <c r="C23" s="81"/>
      <c r="D23" s="74">
        <v>0</v>
      </c>
      <c r="E23" s="73">
        <v>4419</v>
      </c>
      <c r="F23" s="74">
        <f>238+79</f>
        <v>317</v>
      </c>
      <c r="G23" s="1"/>
    </row>
    <row r="24" spans="1:8" ht="15.75" customHeight="1">
      <c r="A24" s="157"/>
      <c r="B24" s="157"/>
      <c r="C24" s="85"/>
      <c r="D24" s="72">
        <v>0</v>
      </c>
      <c r="E24" s="78">
        <v>4428</v>
      </c>
      <c r="F24" s="72">
        <v>560</v>
      </c>
      <c r="G24" s="1"/>
    </row>
    <row r="25" spans="1:8" ht="15.75" customHeight="1" thickBot="1">
      <c r="A25" s="143"/>
      <c r="B25" s="143"/>
      <c r="C25" s="86"/>
      <c r="D25" s="76">
        <v>0</v>
      </c>
      <c r="E25" s="75">
        <v>4429</v>
      </c>
      <c r="F25" s="76">
        <f>105+35</f>
        <v>140</v>
      </c>
      <c r="G25" s="1">
        <f>SUM(F10:F25)</f>
        <v>237493</v>
      </c>
    </row>
    <row r="26" spans="1:8" ht="15.75" customHeight="1">
      <c r="A26" s="142" t="s">
        <v>45</v>
      </c>
      <c r="B26" s="142" t="s">
        <v>62</v>
      </c>
      <c r="C26" s="84"/>
      <c r="D26" s="71">
        <v>0</v>
      </c>
      <c r="E26" s="80">
        <v>2007</v>
      </c>
      <c r="F26" s="71">
        <v>112200</v>
      </c>
    </row>
    <row r="27" spans="1:8" ht="15.75" customHeight="1">
      <c r="A27" s="157"/>
      <c r="B27" s="157"/>
      <c r="C27" s="81"/>
      <c r="D27" s="74">
        <v>0</v>
      </c>
      <c r="E27" s="73">
        <v>2009</v>
      </c>
      <c r="F27" s="74">
        <f>6600+13200</f>
        <v>19800</v>
      </c>
    </row>
    <row r="28" spans="1:8" ht="15.75" customHeight="1">
      <c r="A28" s="157"/>
      <c r="B28" s="157"/>
      <c r="C28" s="85"/>
      <c r="D28" s="72">
        <v>0</v>
      </c>
      <c r="E28" s="78">
        <v>4017</v>
      </c>
      <c r="F28" s="72">
        <v>145592</v>
      </c>
    </row>
    <row r="29" spans="1:8" ht="15.75" customHeight="1">
      <c r="A29" s="157"/>
      <c r="B29" s="157"/>
      <c r="C29" s="81"/>
      <c r="D29" s="74">
        <v>0</v>
      </c>
      <c r="E29" s="73">
        <v>4019</v>
      </c>
      <c r="F29" s="74">
        <f>8564+17129</f>
        <v>25693</v>
      </c>
    </row>
    <row r="30" spans="1:8" ht="15.75" customHeight="1">
      <c r="A30" s="157"/>
      <c r="B30" s="157"/>
      <c r="C30" s="85"/>
      <c r="D30" s="72">
        <v>0</v>
      </c>
      <c r="E30" s="78">
        <v>4117</v>
      </c>
      <c r="F30" s="72">
        <v>25900</v>
      </c>
    </row>
    <row r="31" spans="1:8" ht="15.75" customHeight="1">
      <c r="A31" s="157"/>
      <c r="B31" s="157"/>
      <c r="C31" s="81"/>
      <c r="D31" s="74">
        <v>0</v>
      </c>
      <c r="E31" s="73">
        <v>4119</v>
      </c>
      <c r="F31" s="74">
        <f>1524+3047</f>
        <v>4571</v>
      </c>
    </row>
    <row r="32" spans="1:8" ht="15.75" customHeight="1">
      <c r="A32" s="157"/>
      <c r="B32" s="157"/>
      <c r="C32" s="85"/>
      <c r="D32" s="72">
        <v>0</v>
      </c>
      <c r="E32" s="78">
        <v>4177</v>
      </c>
      <c r="F32" s="72">
        <v>22215</v>
      </c>
    </row>
    <row r="33" spans="1:7" ht="15.75" customHeight="1">
      <c r="A33" s="157"/>
      <c r="B33" s="157"/>
      <c r="C33" s="81"/>
      <c r="D33" s="74">
        <v>0</v>
      </c>
      <c r="E33" s="73">
        <v>4179</v>
      </c>
      <c r="F33" s="74">
        <f>1307+2614</f>
        <v>3921</v>
      </c>
    </row>
    <row r="34" spans="1:7" ht="15.75" customHeight="1">
      <c r="A34" s="157"/>
      <c r="B34" s="157"/>
      <c r="C34" s="85"/>
      <c r="D34" s="72">
        <v>0</v>
      </c>
      <c r="E34" s="78">
        <v>4127</v>
      </c>
      <c r="F34" s="72">
        <v>4005</v>
      </c>
    </row>
    <row r="35" spans="1:7" ht="15.75" customHeight="1">
      <c r="A35" s="157"/>
      <c r="B35" s="157"/>
      <c r="C35" s="81"/>
      <c r="D35" s="74">
        <v>0</v>
      </c>
      <c r="E35" s="73">
        <v>4129</v>
      </c>
      <c r="F35" s="74">
        <f>236+471</f>
        <v>707</v>
      </c>
    </row>
    <row r="36" spans="1:7" ht="15.75" customHeight="1">
      <c r="A36" s="157"/>
      <c r="B36" s="157"/>
      <c r="C36" s="85"/>
      <c r="D36" s="72">
        <v>0</v>
      </c>
      <c r="E36" s="78">
        <v>4367</v>
      </c>
      <c r="F36" s="72">
        <v>2565</v>
      </c>
    </row>
    <row r="37" spans="1:7" ht="15.75" customHeight="1">
      <c r="A37" s="157"/>
      <c r="B37" s="157"/>
      <c r="C37" s="81"/>
      <c r="D37" s="74">
        <v>0</v>
      </c>
      <c r="E37" s="73">
        <v>4369</v>
      </c>
      <c r="F37" s="74">
        <f>150+300</f>
        <v>450</v>
      </c>
    </row>
    <row r="38" spans="1:7" ht="15.75" customHeight="1">
      <c r="A38" s="157"/>
      <c r="B38" s="157"/>
      <c r="C38" s="85"/>
      <c r="D38" s="72">
        <v>0</v>
      </c>
      <c r="E38" s="78">
        <v>4717</v>
      </c>
      <c r="F38" s="72">
        <v>3023</v>
      </c>
    </row>
    <row r="39" spans="1:7" ht="15.75" customHeight="1">
      <c r="A39" s="157"/>
      <c r="B39" s="157"/>
      <c r="C39" s="81"/>
      <c r="D39" s="74">
        <v>0</v>
      </c>
      <c r="E39" s="73">
        <v>4719</v>
      </c>
      <c r="F39" s="74">
        <f>178+356</f>
        <v>534</v>
      </c>
    </row>
    <row r="40" spans="1:7" ht="15.75" customHeight="1">
      <c r="A40" s="157"/>
      <c r="B40" s="157"/>
      <c r="C40" s="85"/>
      <c r="D40" s="72">
        <v>0</v>
      </c>
      <c r="E40" s="78">
        <v>4797</v>
      </c>
      <c r="F40" s="72">
        <v>36778</v>
      </c>
      <c r="G40" s="1"/>
    </row>
    <row r="41" spans="1:7" ht="15.75" customHeight="1" thickBot="1">
      <c r="A41" s="157"/>
      <c r="B41" s="143"/>
      <c r="C41" s="86"/>
      <c r="D41" s="76">
        <v>0</v>
      </c>
      <c r="E41" s="75">
        <v>4799</v>
      </c>
      <c r="F41" s="76">
        <f>2163+4327</f>
        <v>6490</v>
      </c>
      <c r="G41" s="1">
        <f>SUM(F26:F41)</f>
        <v>414444</v>
      </c>
    </row>
    <row r="42" spans="1:7" ht="15.75" customHeight="1">
      <c r="A42" s="157"/>
      <c r="B42" s="142" t="s">
        <v>57</v>
      </c>
      <c r="C42" s="84">
        <v>2009</v>
      </c>
      <c r="D42" s="71">
        <v>-3328860</v>
      </c>
      <c r="E42" s="80">
        <v>2059</v>
      </c>
      <c r="F42" s="71">
        <v>1522700</v>
      </c>
      <c r="G42" s="1"/>
    </row>
    <row r="43" spans="1:7" ht="15.75" customHeight="1">
      <c r="A43" s="157"/>
      <c r="B43" s="157"/>
      <c r="C43" s="89">
        <v>6259</v>
      </c>
      <c r="D43" s="90">
        <v>-432974</v>
      </c>
      <c r="E43" s="73">
        <v>2959</v>
      </c>
      <c r="F43" s="74">
        <v>14112</v>
      </c>
      <c r="G43" s="1"/>
    </row>
    <row r="44" spans="1:7" ht="15.75" customHeight="1">
      <c r="A44" s="157"/>
      <c r="B44" s="157"/>
      <c r="C44" s="89"/>
      <c r="D44" s="90">
        <v>0</v>
      </c>
      <c r="E44" s="91">
        <v>4011</v>
      </c>
      <c r="F44" s="90">
        <f>1800+24000+5000</f>
        <v>30800</v>
      </c>
      <c r="G44" s="1"/>
    </row>
    <row r="45" spans="1:7" ht="15.75" customHeight="1">
      <c r="A45" s="157"/>
      <c r="B45" s="157"/>
      <c r="C45" s="89"/>
      <c r="D45" s="90">
        <v>0</v>
      </c>
      <c r="E45" s="91">
        <v>4111</v>
      </c>
      <c r="F45" s="90">
        <f>310+8251+1719</f>
        <v>10280</v>
      </c>
      <c r="G45" s="1"/>
    </row>
    <row r="46" spans="1:7" ht="15.75" customHeight="1">
      <c r="A46" s="157"/>
      <c r="B46" s="157"/>
      <c r="C46" s="89"/>
      <c r="D46" s="90">
        <v>0</v>
      </c>
      <c r="E46" s="91">
        <v>4121</v>
      </c>
      <c r="F46" s="90">
        <f>45+1176+245</f>
        <v>1466</v>
      </c>
      <c r="G46" s="1"/>
    </row>
    <row r="47" spans="1:7" ht="15.75" customHeight="1">
      <c r="A47" s="157"/>
      <c r="B47" s="157"/>
      <c r="C47" s="89"/>
      <c r="D47" s="90">
        <v>0</v>
      </c>
      <c r="E47" s="91">
        <v>4171</v>
      </c>
      <c r="F47" s="90">
        <v>4000</v>
      </c>
      <c r="G47" s="1"/>
    </row>
    <row r="48" spans="1:7" ht="15.75" customHeight="1" thickBot="1">
      <c r="A48" s="143"/>
      <c r="B48" s="143"/>
      <c r="C48" s="86"/>
      <c r="D48" s="76">
        <v>0</v>
      </c>
      <c r="E48" s="75">
        <v>4211</v>
      </c>
      <c r="F48" s="76">
        <f>1000+4200+1000</f>
        <v>6200</v>
      </c>
      <c r="G48" s="1">
        <f>SUM(F44:F48)</f>
        <v>52746</v>
      </c>
    </row>
    <row r="49" spans="1:7" ht="15.75" customHeight="1">
      <c r="A49" s="142" t="s">
        <v>45</v>
      </c>
      <c r="B49" s="142" t="s">
        <v>57</v>
      </c>
      <c r="C49" s="85"/>
      <c r="D49" s="72">
        <v>0</v>
      </c>
      <c r="E49" s="78">
        <v>4301</v>
      </c>
      <c r="F49" s="72">
        <f>522+274162+4000</f>
        <v>278684</v>
      </c>
      <c r="G49" s="1"/>
    </row>
    <row r="50" spans="1:7" ht="15.75" customHeight="1">
      <c r="A50" s="157"/>
      <c r="B50" s="157"/>
      <c r="C50" s="89"/>
      <c r="D50" s="90">
        <v>0</v>
      </c>
      <c r="E50" s="91">
        <v>4411</v>
      </c>
      <c r="F50" s="90">
        <v>1000</v>
      </c>
      <c r="G50" s="1"/>
    </row>
    <row r="51" spans="1:7" ht="15.75" customHeight="1">
      <c r="A51" s="157"/>
      <c r="B51" s="157"/>
      <c r="C51" s="89"/>
      <c r="D51" s="90">
        <v>0</v>
      </c>
      <c r="E51" s="91">
        <v>4421</v>
      </c>
      <c r="F51" s="90">
        <v>7198</v>
      </c>
      <c r="G51" s="1"/>
    </row>
    <row r="52" spans="1:7" ht="15.75" customHeight="1">
      <c r="A52" s="157"/>
      <c r="B52" s="157"/>
      <c r="C52" s="89"/>
      <c r="D52" s="90">
        <v>0</v>
      </c>
      <c r="E52" s="91">
        <v>4431</v>
      </c>
      <c r="F52" s="90">
        <f>1000+8400+2886</f>
        <v>12286</v>
      </c>
      <c r="G52" s="1"/>
    </row>
    <row r="53" spans="1:7" ht="15.75" customHeight="1">
      <c r="A53" s="157"/>
      <c r="B53" s="157"/>
      <c r="C53" s="89"/>
      <c r="D53" s="90">
        <v>0</v>
      </c>
      <c r="E53" s="91">
        <v>4711</v>
      </c>
      <c r="F53" s="90">
        <f>720+150</f>
        <v>870</v>
      </c>
      <c r="G53" s="1"/>
    </row>
    <row r="54" spans="1:7" ht="15.75" customHeight="1">
      <c r="A54" s="157"/>
      <c r="B54" s="157"/>
      <c r="C54" s="89"/>
      <c r="D54" s="90">
        <v>0</v>
      </c>
      <c r="E54" s="91">
        <v>4791</v>
      </c>
      <c r="F54" s="90">
        <f>24000+5000</f>
        <v>29000</v>
      </c>
      <c r="G54" s="1">
        <f>SUM(F42:F55)</f>
        <v>1977151</v>
      </c>
    </row>
    <row r="55" spans="1:7" ht="15.75" customHeight="1" thickBot="1">
      <c r="A55" s="143"/>
      <c r="B55" s="143"/>
      <c r="C55" s="86"/>
      <c r="D55" s="76">
        <v>0</v>
      </c>
      <c r="E55" s="75">
        <v>6209</v>
      </c>
      <c r="F55" s="76">
        <v>58555</v>
      </c>
      <c r="G55" s="1">
        <f>SUM(F26:F55)</f>
        <v>2391595</v>
      </c>
    </row>
    <row r="56" spans="1:7" ht="15.75" customHeight="1" thickBot="1">
      <c r="A56" s="142" t="s">
        <v>51</v>
      </c>
      <c r="B56" s="12" t="s">
        <v>52</v>
      </c>
      <c r="C56" s="83">
        <v>6220</v>
      </c>
      <c r="D56" s="70">
        <f>-3184500-58012</f>
        <v>-3242512</v>
      </c>
      <c r="E56" s="82">
        <v>6220</v>
      </c>
      <c r="F56" s="70">
        <f>3184500+58012+536582+18439+163600+126282</f>
        <v>4087415</v>
      </c>
      <c r="G56" s="1">
        <f>58012+536582+18439</f>
        <v>613033</v>
      </c>
    </row>
    <row r="57" spans="1:7" ht="15.75" customHeight="1">
      <c r="A57" s="157"/>
      <c r="B57" s="142" t="s">
        <v>61</v>
      </c>
      <c r="C57" s="95">
        <v>2009</v>
      </c>
      <c r="D57" s="96">
        <v>-585687</v>
      </c>
      <c r="E57" s="97"/>
      <c r="F57" s="96">
        <v>0</v>
      </c>
      <c r="G57" s="1"/>
    </row>
    <row r="58" spans="1:7" ht="15.75" customHeight="1" thickBot="1">
      <c r="A58" s="157"/>
      <c r="B58" s="157"/>
      <c r="C58" s="87">
        <v>2059</v>
      </c>
      <c r="D58" s="77">
        <v>-102033</v>
      </c>
      <c r="E58" s="79"/>
      <c r="F58" s="77">
        <v>0</v>
      </c>
      <c r="G58" s="1"/>
    </row>
    <row r="59" spans="1:7" ht="15.75" customHeight="1">
      <c r="A59" s="157"/>
      <c r="B59" s="157"/>
      <c r="C59" s="95">
        <v>6209</v>
      </c>
      <c r="D59" s="96">
        <v>-29284</v>
      </c>
      <c r="E59" s="97"/>
      <c r="F59" s="96">
        <v>0</v>
      </c>
      <c r="G59" s="1">
        <f>SUM(D57:D60)</f>
        <v>-722262</v>
      </c>
    </row>
    <row r="60" spans="1:7" ht="15.75" customHeight="1" thickBot="1">
      <c r="A60" s="143"/>
      <c r="B60" s="143"/>
      <c r="C60" s="87">
        <v>6259</v>
      </c>
      <c r="D60" s="77">
        <v>-5258</v>
      </c>
      <c r="E60" s="87"/>
      <c r="F60" s="77">
        <v>0</v>
      </c>
      <c r="G60" s="1">
        <f>SUM(D56:D60)</f>
        <v>-3964774</v>
      </c>
    </row>
    <row r="61" spans="1:7" ht="15.75" customHeight="1">
      <c r="A61" s="142" t="s">
        <v>47</v>
      </c>
      <c r="B61" s="142" t="s">
        <v>48</v>
      </c>
      <c r="C61" s="95">
        <v>2009</v>
      </c>
      <c r="D61" s="96">
        <v>-2727704</v>
      </c>
      <c r="E61" s="97">
        <v>2009</v>
      </c>
      <c r="F61" s="96">
        <v>150000</v>
      </c>
    </row>
    <row r="62" spans="1:7" ht="15.75" customHeight="1">
      <c r="A62" s="157"/>
      <c r="B62" s="157"/>
      <c r="C62" s="85">
        <v>2059</v>
      </c>
      <c r="D62" s="72">
        <v>-641200</v>
      </c>
      <c r="E62" s="78">
        <v>2959</v>
      </c>
      <c r="F62" s="72">
        <v>20828</v>
      </c>
    </row>
    <row r="63" spans="1:7" ht="15.75" customHeight="1">
      <c r="A63" s="157"/>
      <c r="B63" s="157"/>
      <c r="C63" s="81"/>
      <c r="D63" s="74">
        <v>0</v>
      </c>
      <c r="E63" s="73">
        <v>6209</v>
      </c>
      <c r="F63" s="74">
        <f>657777+50000</f>
        <v>707777</v>
      </c>
      <c r="G63" s="1"/>
    </row>
    <row r="64" spans="1:7" ht="15.75" customHeight="1">
      <c r="A64" s="157"/>
      <c r="B64" s="157"/>
      <c r="C64" s="81"/>
      <c r="D64" s="74">
        <v>0</v>
      </c>
      <c r="E64" s="73">
        <v>6259</v>
      </c>
      <c r="F64" s="74">
        <v>430911</v>
      </c>
      <c r="G64" s="1"/>
    </row>
    <row r="65" spans="1:8" ht="15.75" customHeight="1" thickBot="1">
      <c r="A65" s="143"/>
      <c r="B65" s="143"/>
      <c r="C65" s="87"/>
      <c r="D65" s="106">
        <v>0</v>
      </c>
      <c r="E65" s="79">
        <v>6699</v>
      </c>
      <c r="F65" s="76">
        <v>1678</v>
      </c>
      <c r="G65" s="1">
        <f>SUM(F61:F65)</f>
        <v>1311194</v>
      </c>
    </row>
    <row r="66" spans="1:8" ht="15.75" customHeight="1">
      <c r="A66" s="142" t="s">
        <v>63</v>
      </c>
      <c r="B66" s="142" t="s">
        <v>64</v>
      </c>
      <c r="C66" s="84">
        <v>2580</v>
      </c>
      <c r="D66" s="117">
        <v>-30000</v>
      </c>
      <c r="E66" s="84">
        <v>2570</v>
      </c>
      <c r="F66" s="118">
        <v>31334</v>
      </c>
      <c r="G66" s="1">
        <f>SUM(F42,F55)</f>
        <v>1581255</v>
      </c>
    </row>
    <row r="67" spans="1:8" ht="15.75" customHeight="1">
      <c r="A67" s="157"/>
      <c r="B67" s="157"/>
      <c r="C67" s="81"/>
      <c r="D67" s="108">
        <v>0</v>
      </c>
      <c r="E67" s="81">
        <v>2580</v>
      </c>
      <c r="F67" s="109">
        <v>535333</v>
      </c>
      <c r="G67" s="1"/>
      <c r="H67" s="1">
        <f>SUM(G66:G68)</f>
        <v>2869943</v>
      </c>
    </row>
    <row r="68" spans="1:8" ht="15.75" customHeight="1" thickBot="1">
      <c r="A68" s="157"/>
      <c r="B68" s="143"/>
      <c r="C68" s="85"/>
      <c r="D68" s="104">
        <v>0</v>
      </c>
      <c r="E68" s="85">
        <v>6230</v>
      </c>
      <c r="F68" s="105">
        <v>62000</v>
      </c>
      <c r="G68" s="1">
        <f>SUM(F61,F63,F64)</f>
        <v>1288688</v>
      </c>
    </row>
    <row r="69" spans="1:8" ht="15.75" customHeight="1">
      <c r="A69" s="157"/>
      <c r="B69" s="142" t="s">
        <v>65</v>
      </c>
      <c r="C69" s="84"/>
      <c r="D69" s="117">
        <v>0</v>
      </c>
      <c r="E69" s="84">
        <v>2918</v>
      </c>
      <c r="F69" s="118">
        <v>634</v>
      </c>
      <c r="G69" s="1">
        <f>SUM(F66:F67)</f>
        <v>566667</v>
      </c>
    </row>
    <row r="70" spans="1:8" ht="15.75" customHeight="1">
      <c r="A70" s="157"/>
      <c r="B70" s="157"/>
      <c r="C70" s="81"/>
      <c r="D70" s="108">
        <v>0</v>
      </c>
      <c r="E70" s="81">
        <v>2919</v>
      </c>
      <c r="F70" s="109">
        <v>112</v>
      </c>
      <c r="G70" s="1"/>
    </row>
    <row r="71" spans="1:8" ht="15.75" customHeight="1" thickBot="1">
      <c r="A71" s="143"/>
      <c r="B71" s="143"/>
      <c r="C71" s="87"/>
      <c r="D71" s="106">
        <v>0</v>
      </c>
      <c r="E71" s="87">
        <v>2959</v>
      </c>
      <c r="F71" s="107">
        <f>10074+14099</f>
        <v>24173</v>
      </c>
      <c r="G71" s="1">
        <f>SUM(F66:F71)</f>
        <v>653586</v>
      </c>
      <c r="H71" s="1"/>
    </row>
    <row r="72" spans="1:8" ht="15.75" customHeight="1">
      <c r="A72" s="142" t="s">
        <v>66</v>
      </c>
      <c r="B72" s="142" t="s">
        <v>67</v>
      </c>
      <c r="C72" s="95"/>
      <c r="D72" s="121">
        <v>0</v>
      </c>
      <c r="E72" s="95">
        <v>2001</v>
      </c>
      <c r="F72" s="122">
        <v>2965855</v>
      </c>
      <c r="G72" s="1"/>
    </row>
    <row r="73" spans="1:8" ht="15.75" customHeight="1">
      <c r="A73" s="157"/>
      <c r="B73" s="157"/>
      <c r="C73" s="85"/>
      <c r="D73" s="104">
        <v>0</v>
      </c>
      <c r="E73" s="85">
        <v>2051</v>
      </c>
      <c r="F73" s="105">
        <v>11270747</v>
      </c>
      <c r="G73" s="1"/>
    </row>
    <row r="74" spans="1:8" ht="15.75" customHeight="1">
      <c r="A74" s="157"/>
      <c r="B74" s="157"/>
      <c r="C74" s="81"/>
      <c r="D74" s="108">
        <v>0</v>
      </c>
      <c r="E74" s="81">
        <v>4011</v>
      </c>
      <c r="F74" s="109">
        <v>85000</v>
      </c>
      <c r="G74" s="1"/>
    </row>
    <row r="75" spans="1:8" ht="15.75" customHeight="1">
      <c r="A75" s="157"/>
      <c r="B75" s="157"/>
      <c r="C75" s="85"/>
      <c r="D75" s="104">
        <v>0</v>
      </c>
      <c r="E75" s="85">
        <v>4111</v>
      </c>
      <c r="F75" s="105">
        <v>14620</v>
      </c>
      <c r="G75" s="1"/>
    </row>
    <row r="76" spans="1:8" ht="15.75" customHeight="1">
      <c r="A76" s="157"/>
      <c r="B76" s="157"/>
      <c r="C76" s="81"/>
      <c r="D76" s="108">
        <v>0</v>
      </c>
      <c r="E76" s="81">
        <v>4121</v>
      </c>
      <c r="F76" s="109">
        <v>2100</v>
      </c>
      <c r="G76" s="1"/>
    </row>
    <row r="77" spans="1:8" ht="15.75" customHeight="1">
      <c r="A77" s="157"/>
      <c r="B77" s="157"/>
      <c r="C77" s="85"/>
      <c r="D77" s="104">
        <v>0</v>
      </c>
      <c r="E77" s="85">
        <v>4012</v>
      </c>
      <c r="F77" s="105">
        <v>1318200</v>
      </c>
      <c r="G77" s="1"/>
    </row>
    <row r="78" spans="1:8" ht="15.75" customHeight="1">
      <c r="A78" s="157"/>
      <c r="B78" s="157"/>
      <c r="C78" s="81"/>
      <c r="D78" s="108">
        <v>0</v>
      </c>
      <c r="E78" s="81">
        <v>4112</v>
      </c>
      <c r="F78" s="109">
        <v>226600</v>
      </c>
      <c r="G78" s="1"/>
    </row>
    <row r="79" spans="1:8" ht="15.75" customHeight="1">
      <c r="A79" s="157"/>
      <c r="B79" s="157"/>
      <c r="C79" s="85"/>
      <c r="D79" s="104">
        <v>0</v>
      </c>
      <c r="E79" s="85">
        <v>4122</v>
      </c>
      <c r="F79" s="105">
        <v>32300</v>
      </c>
      <c r="G79" s="1"/>
    </row>
    <row r="80" spans="1:8" ht="15.75" customHeight="1">
      <c r="A80" s="157"/>
      <c r="B80" s="157"/>
      <c r="C80" s="81"/>
      <c r="D80" s="108">
        <v>0</v>
      </c>
      <c r="E80" s="81">
        <v>4712</v>
      </c>
      <c r="F80" s="109">
        <v>19773</v>
      </c>
      <c r="G80" s="1"/>
    </row>
    <row r="81" spans="1:9" ht="15.75" customHeight="1">
      <c r="A81" s="157"/>
      <c r="B81" s="157"/>
      <c r="C81" s="85"/>
      <c r="D81" s="104">
        <v>0</v>
      </c>
      <c r="E81" s="85">
        <v>4211</v>
      </c>
      <c r="F81" s="105">
        <v>50686</v>
      </c>
      <c r="G81" s="1"/>
    </row>
    <row r="82" spans="1:9" ht="15.75" customHeight="1">
      <c r="A82" s="157"/>
      <c r="B82" s="157"/>
      <c r="C82" s="81"/>
      <c r="D82" s="108">
        <v>0</v>
      </c>
      <c r="E82" s="81">
        <v>4212</v>
      </c>
      <c r="F82" s="109">
        <v>33120</v>
      </c>
      <c r="G82" s="1"/>
    </row>
    <row r="83" spans="1:9" ht="15.75" customHeight="1">
      <c r="A83" s="157"/>
      <c r="B83" s="157"/>
      <c r="C83" s="85"/>
      <c r="D83" s="104">
        <v>0</v>
      </c>
      <c r="E83" s="85">
        <v>4302</v>
      </c>
      <c r="F83" s="105">
        <v>429989</v>
      </c>
      <c r="G83" s="1"/>
    </row>
    <row r="84" spans="1:9" ht="15.75" customHeight="1">
      <c r="A84" s="157"/>
      <c r="B84" s="157"/>
      <c r="C84" s="81"/>
      <c r="D84" s="108">
        <v>0</v>
      </c>
      <c r="E84" s="81">
        <v>4382</v>
      </c>
      <c r="F84" s="109">
        <v>8200</v>
      </c>
      <c r="G84" s="1"/>
    </row>
    <row r="85" spans="1:9" ht="15.75" customHeight="1">
      <c r="A85" s="157"/>
      <c r="B85" s="157"/>
      <c r="C85" s="85"/>
      <c r="D85" s="104">
        <v>0</v>
      </c>
      <c r="E85" s="85">
        <v>4412</v>
      </c>
      <c r="F85" s="105">
        <v>9104</v>
      </c>
      <c r="G85" s="1"/>
    </row>
    <row r="86" spans="1:9" ht="15.75" customHeight="1" thickBot="1">
      <c r="A86" s="143"/>
      <c r="B86" s="143"/>
      <c r="C86" s="86"/>
      <c r="D86" s="123">
        <v>0</v>
      </c>
      <c r="E86" s="86">
        <v>4702</v>
      </c>
      <c r="F86" s="124">
        <v>100000</v>
      </c>
      <c r="G86" s="1">
        <f>SUM(F72:F86)</f>
        <v>16566294</v>
      </c>
    </row>
    <row r="87" spans="1:9" ht="15.75" customHeight="1" thickBot="1">
      <c r="A87" s="142" t="s">
        <v>49</v>
      </c>
      <c r="B87" s="113" t="s">
        <v>68</v>
      </c>
      <c r="C87" s="84"/>
      <c r="D87" s="117">
        <v>0</v>
      </c>
      <c r="E87" s="84">
        <v>2480</v>
      </c>
      <c r="F87" s="118">
        <f>60000</f>
        <v>60000</v>
      </c>
      <c r="G87" s="1"/>
    </row>
    <row r="88" spans="1:9" ht="15.75" customHeight="1" thickBot="1">
      <c r="A88" s="157"/>
      <c r="B88" s="12" t="s">
        <v>69</v>
      </c>
      <c r="C88" s="83">
        <v>6220</v>
      </c>
      <c r="D88" s="102">
        <v>-840000</v>
      </c>
      <c r="E88" s="83"/>
      <c r="F88" s="103">
        <v>0</v>
      </c>
      <c r="G88" s="1"/>
    </row>
    <row r="89" spans="1:9" ht="15.75" customHeight="1">
      <c r="A89" s="157"/>
      <c r="B89" s="157" t="s">
        <v>70</v>
      </c>
      <c r="C89" s="116"/>
      <c r="D89" s="119">
        <v>0</v>
      </c>
      <c r="E89" s="116">
        <v>2480</v>
      </c>
      <c r="F89" s="120">
        <f>63900+1200000</f>
        <v>1263900</v>
      </c>
      <c r="G89" s="1"/>
    </row>
    <row r="90" spans="1:9" ht="15.75" customHeight="1" thickBot="1">
      <c r="A90" s="157"/>
      <c r="B90" s="143"/>
      <c r="C90" s="86"/>
      <c r="D90" s="123">
        <v>0</v>
      </c>
      <c r="E90" s="86">
        <v>6220</v>
      </c>
      <c r="F90" s="124">
        <f>142404+239200+8400</f>
        <v>390004</v>
      </c>
      <c r="G90" s="1"/>
    </row>
    <row r="91" spans="1:9" ht="15.75" customHeight="1" thickBot="1">
      <c r="A91" s="143"/>
      <c r="B91" s="114" t="s">
        <v>76</v>
      </c>
      <c r="C91" s="87"/>
      <c r="D91" s="106">
        <v>0</v>
      </c>
      <c r="E91" s="87">
        <v>6570</v>
      </c>
      <c r="F91" s="107">
        <v>1000000</v>
      </c>
      <c r="G91" s="1">
        <f>SUM(F87:F91)</f>
        <v>2713904</v>
      </c>
    </row>
    <row r="92" spans="1:9" ht="15.75" customHeight="1" thickBot="1">
      <c r="A92" s="12" t="s">
        <v>71</v>
      </c>
      <c r="B92" s="12" t="s">
        <v>72</v>
      </c>
      <c r="C92" s="83"/>
      <c r="D92" s="102">
        <v>0</v>
      </c>
      <c r="E92" s="83">
        <v>6060</v>
      </c>
      <c r="F92" s="103">
        <v>144000</v>
      </c>
      <c r="G92" s="1"/>
    </row>
    <row r="93" spans="1:9" ht="15.75" customHeight="1" thickBot="1">
      <c r="A93" s="12" t="s">
        <v>73</v>
      </c>
      <c r="B93" s="12" t="s">
        <v>74</v>
      </c>
      <c r="C93" s="83"/>
      <c r="D93" s="102">
        <v>0</v>
      </c>
      <c r="E93" s="83">
        <v>6300</v>
      </c>
      <c r="F93" s="103">
        <v>200000</v>
      </c>
      <c r="G93" s="1"/>
    </row>
    <row r="94" spans="1:9" ht="21" customHeight="1" thickBot="1">
      <c r="A94" s="158" t="s">
        <v>3</v>
      </c>
      <c r="B94" s="159"/>
      <c r="C94" s="65"/>
      <c r="D94" s="11">
        <f>SUM(D8:D93)</f>
        <v>-59087886</v>
      </c>
      <c r="E94" s="60"/>
      <c r="F94" s="10">
        <f>SUM(F8:F93)</f>
        <v>28430750</v>
      </c>
      <c r="G94" s="1">
        <f>SUM(D94:F94)</f>
        <v>-30657136</v>
      </c>
      <c r="I94" s="4"/>
    </row>
    <row r="95" spans="1:9" ht="19.5" customHeight="1" thickBot="1">
      <c r="A95" s="139" t="s">
        <v>2</v>
      </c>
      <c r="B95" s="140"/>
      <c r="C95" s="66"/>
      <c r="D95" s="57"/>
      <c r="E95" s="61"/>
      <c r="F95" s="57"/>
      <c r="G95" s="1"/>
      <c r="I95" s="4"/>
    </row>
    <row r="96" spans="1:9" ht="19.5" customHeight="1" thickBot="1">
      <c r="A96" s="141" t="s">
        <v>10</v>
      </c>
      <c r="B96" s="141"/>
      <c r="C96" s="67"/>
      <c r="D96" s="64">
        <f>SUM(D42,D57:D58,D61:D62,D66)</f>
        <v>-7415484</v>
      </c>
      <c r="E96" s="62"/>
      <c r="F96" s="58">
        <f>SUM(F10:F25,F26:F52,F53:F54,F61:F62,F66,F67,F69:F87,F89)</f>
        <v>21223141</v>
      </c>
      <c r="G96" s="1"/>
      <c r="I96" s="4"/>
    </row>
    <row r="97" spans="1:8" ht="21.75" customHeight="1" thickBot="1">
      <c r="A97" s="134" t="s">
        <v>11</v>
      </c>
      <c r="B97" s="135"/>
      <c r="C97" s="68"/>
      <c r="D97" s="59">
        <f>SUM(D8,D43,D56,D59:D60,D88)</f>
        <v>-51672402</v>
      </c>
      <c r="E97" s="63"/>
      <c r="F97" s="59">
        <f>SUM(F9,F55:F56,F63,F64,F65,F68,F90:F93)</f>
        <v>7207609</v>
      </c>
      <c r="G97" s="1"/>
      <c r="H97" s="1"/>
    </row>
    <row r="98" spans="1:8" ht="15">
      <c r="B98" s="3"/>
      <c r="C98" s="8"/>
      <c r="D98" s="7">
        <f>SUM(D96:D97)</f>
        <v>-59087886</v>
      </c>
      <c r="E98" s="7"/>
      <c r="F98" s="7">
        <f>SUM(F96:F97)</f>
        <v>28430750</v>
      </c>
      <c r="G98" s="1"/>
      <c r="H98" s="1"/>
    </row>
    <row r="99" spans="1:8" ht="15">
      <c r="B99" s="2"/>
      <c r="C99" s="2"/>
      <c r="D99" s="7">
        <f>D94-D98</f>
        <v>0</v>
      </c>
      <c r="E99" s="7"/>
      <c r="F99" s="7">
        <f t="shared" ref="F99" si="0">F94-F98</f>
        <v>0</v>
      </c>
      <c r="H99" s="1"/>
    </row>
    <row r="100" spans="1:8" ht="15">
      <c r="C100" s="1"/>
      <c r="D100" s="7"/>
      <c r="E100" s="7"/>
      <c r="F100" s="7"/>
      <c r="G100" s="1"/>
    </row>
    <row r="101" spans="1:8">
      <c r="C101" s="6"/>
      <c r="D101" s="1"/>
      <c r="E101" s="1"/>
    </row>
    <row r="102" spans="1:8">
      <c r="C102" s="5"/>
      <c r="D102" s="5"/>
      <c r="E102" s="1"/>
    </row>
    <row r="103" spans="1:8" ht="198" customHeight="1">
      <c r="A103" s="136"/>
      <c r="B103" s="136"/>
      <c r="C103" s="136"/>
      <c r="D103" s="136"/>
      <c r="E103" s="136"/>
      <c r="F103" s="136"/>
    </row>
    <row r="104" spans="1:8">
      <c r="E104" s="1"/>
    </row>
    <row r="105" spans="1:8">
      <c r="C105" s="5"/>
    </row>
  </sheetData>
  <mergeCells count="31">
    <mergeCell ref="B10:B25"/>
    <mergeCell ref="A10:A25"/>
    <mergeCell ref="B57:B60"/>
    <mergeCell ref="A1:F1"/>
    <mergeCell ref="A3:F3"/>
    <mergeCell ref="A4:F4"/>
    <mergeCell ref="A5:F5"/>
    <mergeCell ref="A6:A7"/>
    <mergeCell ref="B6:B7"/>
    <mergeCell ref="C6:D6"/>
    <mergeCell ref="E6:F6"/>
    <mergeCell ref="B26:B41"/>
    <mergeCell ref="B42:B48"/>
    <mergeCell ref="A26:A48"/>
    <mergeCell ref="A103:F103"/>
    <mergeCell ref="A94:B94"/>
    <mergeCell ref="A95:B95"/>
    <mergeCell ref="A96:B96"/>
    <mergeCell ref="A97:B97"/>
    <mergeCell ref="B49:B55"/>
    <mergeCell ref="A49:A55"/>
    <mergeCell ref="A56:A60"/>
    <mergeCell ref="B89:B90"/>
    <mergeCell ref="A87:A91"/>
    <mergeCell ref="B72:B86"/>
    <mergeCell ref="A72:A86"/>
    <mergeCell ref="B61:B65"/>
    <mergeCell ref="A61:A65"/>
    <mergeCell ref="B69:B71"/>
    <mergeCell ref="A66:A71"/>
    <mergeCell ref="B66:B68"/>
  </mergeCells>
  <printOptions horizontalCentered="1"/>
  <pageMargins left="0.70866141732283472" right="0.51181102362204722" top="0.35433070866141736" bottom="0.74803149606299213" header="0.31496062992125984" footer="0.31496062992125984"/>
  <pageSetup paperSize="9" scale="95" fitToHeight="0" orientation="portrait" r:id="rId1"/>
  <rowBreaks count="1" manualBreakCount="1">
    <brk id="8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3BEA9-3A88-450F-B598-581251EF42CB}">
  <sheetPr>
    <tabColor theme="0" tint="-4.9989318521683403E-2"/>
    <pageSetUpPr fitToPage="1"/>
  </sheetPr>
  <dimension ref="A1:Q530"/>
  <sheetViews>
    <sheetView tabSelected="1" view="pageBreakPreview" zoomScale="115" zoomScaleNormal="100" zoomScaleSheetLayoutView="115" workbookViewId="0">
      <selection activeCell="B1" sqref="B1:D1"/>
    </sheetView>
  </sheetViews>
  <sheetFormatPr defaultRowHeight="12.75"/>
  <cols>
    <col min="1" max="1" width="5.125" style="14" customWidth="1"/>
    <col min="2" max="2" width="43.5" style="14" customWidth="1"/>
    <col min="3" max="4" width="12.75" style="14" customWidth="1"/>
    <col min="5" max="5" width="7.875" style="14" customWidth="1"/>
    <col min="6" max="256" width="9" style="14"/>
    <col min="257" max="257" width="5.125" style="14" customWidth="1"/>
    <col min="258" max="258" width="39.75" style="14" customWidth="1"/>
    <col min="259" max="260" width="12.75" style="14" customWidth="1"/>
    <col min="261" max="261" width="7.875" style="14" customWidth="1"/>
    <col min="262" max="512" width="9" style="14"/>
    <col min="513" max="513" width="5.125" style="14" customWidth="1"/>
    <col min="514" max="514" width="39.75" style="14" customWidth="1"/>
    <col min="515" max="516" width="12.75" style="14" customWidth="1"/>
    <col min="517" max="517" width="7.875" style="14" customWidth="1"/>
    <col min="518" max="768" width="9" style="14"/>
    <col min="769" max="769" width="5.125" style="14" customWidth="1"/>
    <col min="770" max="770" width="39.75" style="14" customWidth="1"/>
    <col min="771" max="772" width="12.75" style="14" customWidth="1"/>
    <col min="773" max="773" width="7.875" style="14" customWidth="1"/>
    <col min="774" max="1024" width="9" style="14"/>
    <col min="1025" max="1025" width="5.125" style="14" customWidth="1"/>
    <col min="1026" max="1026" width="39.75" style="14" customWidth="1"/>
    <col min="1027" max="1028" width="12.75" style="14" customWidth="1"/>
    <col min="1029" max="1029" width="7.875" style="14" customWidth="1"/>
    <col min="1030" max="1280" width="9" style="14"/>
    <col min="1281" max="1281" width="5.125" style="14" customWidth="1"/>
    <col min="1282" max="1282" width="39.75" style="14" customWidth="1"/>
    <col min="1283" max="1284" width="12.75" style="14" customWidth="1"/>
    <col min="1285" max="1285" width="7.875" style="14" customWidth="1"/>
    <col min="1286" max="1536" width="9" style="14"/>
    <col min="1537" max="1537" width="5.125" style="14" customWidth="1"/>
    <col min="1538" max="1538" width="39.75" style="14" customWidth="1"/>
    <col min="1539" max="1540" width="12.75" style="14" customWidth="1"/>
    <col min="1541" max="1541" width="7.875" style="14" customWidth="1"/>
    <col min="1542" max="1792" width="9" style="14"/>
    <col min="1793" max="1793" width="5.125" style="14" customWidth="1"/>
    <col min="1794" max="1794" width="39.75" style="14" customWidth="1"/>
    <col min="1795" max="1796" width="12.75" style="14" customWidth="1"/>
    <col min="1797" max="1797" width="7.875" style="14" customWidth="1"/>
    <col min="1798" max="2048" width="9" style="14"/>
    <col min="2049" max="2049" width="5.125" style="14" customWidth="1"/>
    <col min="2050" max="2050" width="39.75" style="14" customWidth="1"/>
    <col min="2051" max="2052" width="12.75" style="14" customWidth="1"/>
    <col min="2053" max="2053" width="7.875" style="14" customWidth="1"/>
    <col min="2054" max="2304" width="9" style="14"/>
    <col min="2305" max="2305" width="5.125" style="14" customWidth="1"/>
    <col min="2306" max="2306" width="39.75" style="14" customWidth="1"/>
    <col min="2307" max="2308" width="12.75" style="14" customWidth="1"/>
    <col min="2309" max="2309" width="7.875" style="14" customWidth="1"/>
    <col min="2310" max="2560" width="9" style="14"/>
    <col min="2561" max="2561" width="5.125" style="14" customWidth="1"/>
    <col min="2562" max="2562" width="39.75" style="14" customWidth="1"/>
    <col min="2563" max="2564" width="12.75" style="14" customWidth="1"/>
    <col min="2565" max="2565" width="7.875" style="14" customWidth="1"/>
    <col min="2566" max="2816" width="9" style="14"/>
    <col min="2817" max="2817" width="5.125" style="14" customWidth="1"/>
    <col min="2818" max="2818" width="39.75" style="14" customWidth="1"/>
    <col min="2819" max="2820" width="12.75" style="14" customWidth="1"/>
    <col min="2821" max="2821" width="7.875" style="14" customWidth="1"/>
    <col min="2822" max="3072" width="9" style="14"/>
    <col min="3073" max="3073" width="5.125" style="14" customWidth="1"/>
    <col min="3074" max="3074" width="39.75" style="14" customWidth="1"/>
    <col min="3075" max="3076" width="12.75" style="14" customWidth="1"/>
    <col min="3077" max="3077" width="7.875" style="14" customWidth="1"/>
    <col min="3078" max="3328" width="9" style="14"/>
    <col min="3329" max="3329" width="5.125" style="14" customWidth="1"/>
    <col min="3330" max="3330" width="39.75" style="14" customWidth="1"/>
    <col min="3331" max="3332" width="12.75" style="14" customWidth="1"/>
    <col min="3333" max="3333" width="7.875" style="14" customWidth="1"/>
    <col min="3334" max="3584" width="9" style="14"/>
    <col min="3585" max="3585" width="5.125" style="14" customWidth="1"/>
    <col min="3586" max="3586" width="39.75" style="14" customWidth="1"/>
    <col min="3587" max="3588" width="12.75" style="14" customWidth="1"/>
    <col min="3589" max="3589" width="7.875" style="14" customWidth="1"/>
    <col min="3590" max="3840" width="9" style="14"/>
    <col min="3841" max="3841" width="5.125" style="14" customWidth="1"/>
    <col min="3842" max="3842" width="39.75" style="14" customWidth="1"/>
    <col min="3843" max="3844" width="12.75" style="14" customWidth="1"/>
    <col min="3845" max="3845" width="7.875" style="14" customWidth="1"/>
    <col min="3846" max="4096" width="9" style="14"/>
    <col min="4097" max="4097" width="5.125" style="14" customWidth="1"/>
    <col min="4098" max="4098" width="39.75" style="14" customWidth="1"/>
    <col min="4099" max="4100" width="12.75" style="14" customWidth="1"/>
    <col min="4101" max="4101" width="7.875" style="14" customWidth="1"/>
    <col min="4102" max="4352" width="9" style="14"/>
    <col min="4353" max="4353" width="5.125" style="14" customWidth="1"/>
    <col min="4354" max="4354" width="39.75" style="14" customWidth="1"/>
    <col min="4355" max="4356" width="12.75" style="14" customWidth="1"/>
    <col min="4357" max="4357" width="7.875" style="14" customWidth="1"/>
    <col min="4358" max="4608" width="9" style="14"/>
    <col min="4609" max="4609" width="5.125" style="14" customWidth="1"/>
    <col min="4610" max="4610" width="39.75" style="14" customWidth="1"/>
    <col min="4611" max="4612" width="12.75" style="14" customWidth="1"/>
    <col min="4613" max="4613" width="7.875" style="14" customWidth="1"/>
    <col min="4614" max="4864" width="9" style="14"/>
    <col min="4865" max="4865" width="5.125" style="14" customWidth="1"/>
    <col min="4866" max="4866" width="39.75" style="14" customWidth="1"/>
    <col min="4867" max="4868" width="12.75" style="14" customWidth="1"/>
    <col min="4869" max="4869" width="7.875" style="14" customWidth="1"/>
    <col min="4870" max="5120" width="9" style="14"/>
    <col min="5121" max="5121" width="5.125" style="14" customWidth="1"/>
    <col min="5122" max="5122" width="39.75" style="14" customWidth="1"/>
    <col min="5123" max="5124" width="12.75" style="14" customWidth="1"/>
    <col min="5125" max="5125" width="7.875" style="14" customWidth="1"/>
    <col min="5126" max="5376" width="9" style="14"/>
    <col min="5377" max="5377" width="5.125" style="14" customWidth="1"/>
    <col min="5378" max="5378" width="39.75" style="14" customWidth="1"/>
    <col min="5379" max="5380" width="12.75" style="14" customWidth="1"/>
    <col min="5381" max="5381" width="7.875" style="14" customWidth="1"/>
    <col min="5382" max="5632" width="9" style="14"/>
    <col min="5633" max="5633" width="5.125" style="14" customWidth="1"/>
    <col min="5634" max="5634" width="39.75" style="14" customWidth="1"/>
    <col min="5635" max="5636" width="12.75" style="14" customWidth="1"/>
    <col min="5637" max="5637" width="7.875" style="14" customWidth="1"/>
    <col min="5638" max="5888" width="9" style="14"/>
    <col min="5889" max="5889" width="5.125" style="14" customWidth="1"/>
    <col min="5890" max="5890" width="39.75" style="14" customWidth="1"/>
    <col min="5891" max="5892" width="12.75" style="14" customWidth="1"/>
    <col min="5893" max="5893" width="7.875" style="14" customWidth="1"/>
    <col min="5894" max="6144" width="9" style="14"/>
    <col min="6145" max="6145" width="5.125" style="14" customWidth="1"/>
    <col min="6146" max="6146" width="39.75" style="14" customWidth="1"/>
    <col min="6147" max="6148" width="12.75" style="14" customWidth="1"/>
    <col min="6149" max="6149" width="7.875" style="14" customWidth="1"/>
    <col min="6150" max="6400" width="9" style="14"/>
    <col min="6401" max="6401" width="5.125" style="14" customWidth="1"/>
    <col min="6402" max="6402" width="39.75" style="14" customWidth="1"/>
    <col min="6403" max="6404" width="12.75" style="14" customWidth="1"/>
    <col min="6405" max="6405" width="7.875" style="14" customWidth="1"/>
    <col min="6406" max="6656" width="9" style="14"/>
    <col min="6657" max="6657" width="5.125" style="14" customWidth="1"/>
    <col min="6658" max="6658" width="39.75" style="14" customWidth="1"/>
    <col min="6659" max="6660" width="12.75" style="14" customWidth="1"/>
    <col min="6661" max="6661" width="7.875" style="14" customWidth="1"/>
    <col min="6662" max="6912" width="9" style="14"/>
    <col min="6913" max="6913" width="5.125" style="14" customWidth="1"/>
    <col min="6914" max="6914" width="39.75" style="14" customWidth="1"/>
    <col min="6915" max="6916" width="12.75" style="14" customWidth="1"/>
    <col min="6917" max="6917" width="7.875" style="14" customWidth="1"/>
    <col min="6918" max="7168" width="9" style="14"/>
    <col min="7169" max="7169" width="5.125" style="14" customWidth="1"/>
    <col min="7170" max="7170" width="39.75" style="14" customWidth="1"/>
    <col min="7171" max="7172" width="12.75" style="14" customWidth="1"/>
    <col min="7173" max="7173" width="7.875" style="14" customWidth="1"/>
    <col min="7174" max="7424" width="9" style="14"/>
    <col min="7425" max="7425" width="5.125" style="14" customWidth="1"/>
    <col min="7426" max="7426" width="39.75" style="14" customWidth="1"/>
    <col min="7427" max="7428" width="12.75" style="14" customWidth="1"/>
    <col min="7429" max="7429" width="7.875" style="14" customWidth="1"/>
    <col min="7430" max="7680" width="9" style="14"/>
    <col min="7681" max="7681" width="5.125" style="14" customWidth="1"/>
    <col min="7682" max="7682" width="39.75" style="14" customWidth="1"/>
    <col min="7683" max="7684" width="12.75" style="14" customWidth="1"/>
    <col min="7685" max="7685" width="7.875" style="14" customWidth="1"/>
    <col min="7686" max="7936" width="9" style="14"/>
    <col min="7937" max="7937" width="5.125" style="14" customWidth="1"/>
    <col min="7938" max="7938" width="39.75" style="14" customWidth="1"/>
    <col min="7939" max="7940" width="12.75" style="14" customWidth="1"/>
    <col min="7941" max="7941" width="7.875" style="14" customWidth="1"/>
    <col min="7942" max="8192" width="9" style="14"/>
    <col min="8193" max="8193" width="5.125" style="14" customWidth="1"/>
    <col min="8194" max="8194" width="39.75" style="14" customWidth="1"/>
    <col min="8195" max="8196" width="12.75" style="14" customWidth="1"/>
    <col min="8197" max="8197" width="7.875" style="14" customWidth="1"/>
    <col min="8198" max="8448" width="9" style="14"/>
    <col min="8449" max="8449" width="5.125" style="14" customWidth="1"/>
    <col min="8450" max="8450" width="39.75" style="14" customWidth="1"/>
    <col min="8451" max="8452" width="12.75" style="14" customWidth="1"/>
    <col min="8453" max="8453" width="7.875" style="14" customWidth="1"/>
    <col min="8454" max="8704" width="9" style="14"/>
    <col min="8705" max="8705" width="5.125" style="14" customWidth="1"/>
    <col min="8706" max="8706" width="39.75" style="14" customWidth="1"/>
    <col min="8707" max="8708" width="12.75" style="14" customWidth="1"/>
    <col min="8709" max="8709" width="7.875" style="14" customWidth="1"/>
    <col min="8710" max="8960" width="9" style="14"/>
    <col min="8961" max="8961" width="5.125" style="14" customWidth="1"/>
    <col min="8962" max="8962" width="39.75" style="14" customWidth="1"/>
    <col min="8963" max="8964" width="12.75" style="14" customWidth="1"/>
    <col min="8965" max="8965" width="7.875" style="14" customWidth="1"/>
    <col min="8966" max="9216" width="9" style="14"/>
    <col min="9217" max="9217" width="5.125" style="14" customWidth="1"/>
    <col min="9218" max="9218" width="39.75" style="14" customWidth="1"/>
    <col min="9219" max="9220" width="12.75" style="14" customWidth="1"/>
    <col min="9221" max="9221" width="7.875" style="14" customWidth="1"/>
    <col min="9222" max="9472" width="9" style="14"/>
    <col min="9473" max="9473" width="5.125" style="14" customWidth="1"/>
    <col min="9474" max="9474" width="39.75" style="14" customWidth="1"/>
    <col min="9475" max="9476" width="12.75" style="14" customWidth="1"/>
    <col min="9477" max="9477" width="7.875" style="14" customWidth="1"/>
    <col min="9478" max="9728" width="9" style="14"/>
    <col min="9729" max="9729" width="5.125" style="14" customWidth="1"/>
    <col min="9730" max="9730" width="39.75" style="14" customWidth="1"/>
    <col min="9731" max="9732" width="12.75" style="14" customWidth="1"/>
    <col min="9733" max="9733" width="7.875" style="14" customWidth="1"/>
    <col min="9734" max="9984" width="9" style="14"/>
    <col min="9985" max="9985" width="5.125" style="14" customWidth="1"/>
    <col min="9986" max="9986" width="39.75" style="14" customWidth="1"/>
    <col min="9987" max="9988" width="12.75" style="14" customWidth="1"/>
    <col min="9989" max="9989" width="7.875" style="14" customWidth="1"/>
    <col min="9990" max="10240" width="9" style="14"/>
    <col min="10241" max="10241" width="5.125" style="14" customWidth="1"/>
    <col min="10242" max="10242" width="39.75" style="14" customWidth="1"/>
    <col min="10243" max="10244" width="12.75" style="14" customWidth="1"/>
    <col min="10245" max="10245" width="7.875" style="14" customWidth="1"/>
    <col min="10246" max="10496" width="9" style="14"/>
    <col min="10497" max="10497" width="5.125" style="14" customWidth="1"/>
    <col min="10498" max="10498" width="39.75" style="14" customWidth="1"/>
    <col min="10499" max="10500" width="12.75" style="14" customWidth="1"/>
    <col min="10501" max="10501" width="7.875" style="14" customWidth="1"/>
    <col min="10502" max="10752" width="9" style="14"/>
    <col min="10753" max="10753" width="5.125" style="14" customWidth="1"/>
    <col min="10754" max="10754" width="39.75" style="14" customWidth="1"/>
    <col min="10755" max="10756" width="12.75" style="14" customWidth="1"/>
    <col min="10757" max="10757" width="7.875" style="14" customWidth="1"/>
    <col min="10758" max="11008" width="9" style="14"/>
    <col min="11009" max="11009" width="5.125" style="14" customWidth="1"/>
    <col min="11010" max="11010" width="39.75" style="14" customWidth="1"/>
    <col min="11011" max="11012" width="12.75" style="14" customWidth="1"/>
    <col min="11013" max="11013" width="7.875" style="14" customWidth="1"/>
    <col min="11014" max="11264" width="9" style="14"/>
    <col min="11265" max="11265" width="5.125" style="14" customWidth="1"/>
    <col min="11266" max="11266" width="39.75" style="14" customWidth="1"/>
    <col min="11267" max="11268" width="12.75" style="14" customWidth="1"/>
    <col min="11269" max="11269" width="7.875" style="14" customWidth="1"/>
    <col min="11270" max="11520" width="9" style="14"/>
    <col min="11521" max="11521" width="5.125" style="14" customWidth="1"/>
    <col min="11522" max="11522" width="39.75" style="14" customWidth="1"/>
    <col min="11523" max="11524" width="12.75" style="14" customWidth="1"/>
    <col min="11525" max="11525" width="7.875" style="14" customWidth="1"/>
    <col min="11526" max="11776" width="9" style="14"/>
    <col min="11777" max="11777" width="5.125" style="14" customWidth="1"/>
    <col min="11778" max="11778" width="39.75" style="14" customWidth="1"/>
    <col min="11779" max="11780" width="12.75" style="14" customWidth="1"/>
    <col min="11781" max="11781" width="7.875" style="14" customWidth="1"/>
    <col min="11782" max="12032" width="9" style="14"/>
    <col min="12033" max="12033" width="5.125" style="14" customWidth="1"/>
    <col min="12034" max="12034" width="39.75" style="14" customWidth="1"/>
    <col min="12035" max="12036" width="12.75" style="14" customWidth="1"/>
    <col min="12037" max="12037" width="7.875" style="14" customWidth="1"/>
    <col min="12038" max="12288" width="9" style="14"/>
    <col min="12289" max="12289" width="5.125" style="14" customWidth="1"/>
    <col min="12290" max="12290" width="39.75" style="14" customWidth="1"/>
    <col min="12291" max="12292" width="12.75" style="14" customWidth="1"/>
    <col min="12293" max="12293" width="7.875" style="14" customWidth="1"/>
    <col min="12294" max="12544" width="9" style="14"/>
    <col min="12545" max="12545" width="5.125" style="14" customWidth="1"/>
    <col min="12546" max="12546" width="39.75" style="14" customWidth="1"/>
    <col min="12547" max="12548" width="12.75" style="14" customWidth="1"/>
    <col min="12549" max="12549" width="7.875" style="14" customWidth="1"/>
    <col min="12550" max="12800" width="9" style="14"/>
    <col min="12801" max="12801" width="5.125" style="14" customWidth="1"/>
    <col min="12802" max="12802" width="39.75" style="14" customWidth="1"/>
    <col min="12803" max="12804" width="12.75" style="14" customWidth="1"/>
    <col min="12805" max="12805" width="7.875" style="14" customWidth="1"/>
    <col min="12806" max="13056" width="9" style="14"/>
    <col min="13057" max="13057" width="5.125" style="14" customWidth="1"/>
    <col min="13058" max="13058" width="39.75" style="14" customWidth="1"/>
    <col min="13059" max="13060" width="12.75" style="14" customWidth="1"/>
    <col min="13061" max="13061" width="7.875" style="14" customWidth="1"/>
    <col min="13062" max="13312" width="9" style="14"/>
    <col min="13313" max="13313" width="5.125" style="14" customWidth="1"/>
    <col min="13314" max="13314" width="39.75" style="14" customWidth="1"/>
    <col min="13315" max="13316" width="12.75" style="14" customWidth="1"/>
    <col min="13317" max="13317" width="7.875" style="14" customWidth="1"/>
    <col min="13318" max="13568" width="9" style="14"/>
    <col min="13569" max="13569" width="5.125" style="14" customWidth="1"/>
    <col min="13570" max="13570" width="39.75" style="14" customWidth="1"/>
    <col min="13571" max="13572" width="12.75" style="14" customWidth="1"/>
    <col min="13573" max="13573" width="7.875" style="14" customWidth="1"/>
    <col min="13574" max="13824" width="9" style="14"/>
    <col min="13825" max="13825" width="5.125" style="14" customWidth="1"/>
    <col min="13826" max="13826" width="39.75" style="14" customWidth="1"/>
    <col min="13827" max="13828" width="12.75" style="14" customWidth="1"/>
    <col min="13829" max="13829" width="7.875" style="14" customWidth="1"/>
    <col min="13830" max="14080" width="9" style="14"/>
    <col min="14081" max="14081" width="5.125" style="14" customWidth="1"/>
    <col min="14082" max="14082" width="39.75" style="14" customWidth="1"/>
    <col min="14083" max="14084" width="12.75" style="14" customWidth="1"/>
    <col min="14085" max="14085" width="7.875" style="14" customWidth="1"/>
    <col min="14086" max="14336" width="9" style="14"/>
    <col min="14337" max="14337" width="5.125" style="14" customWidth="1"/>
    <col min="14338" max="14338" width="39.75" style="14" customWidth="1"/>
    <col min="14339" max="14340" width="12.75" style="14" customWidth="1"/>
    <col min="14341" max="14341" width="7.875" style="14" customWidth="1"/>
    <col min="14342" max="14592" width="9" style="14"/>
    <col min="14593" max="14593" width="5.125" style="14" customWidth="1"/>
    <col min="14594" max="14594" width="39.75" style="14" customWidth="1"/>
    <col min="14595" max="14596" width="12.75" style="14" customWidth="1"/>
    <col min="14597" max="14597" width="7.875" style="14" customWidth="1"/>
    <col min="14598" max="14848" width="9" style="14"/>
    <col min="14849" max="14849" width="5.125" style="14" customWidth="1"/>
    <col min="14850" max="14850" width="39.75" style="14" customWidth="1"/>
    <col min="14851" max="14852" width="12.75" style="14" customWidth="1"/>
    <col min="14853" max="14853" width="7.875" style="14" customWidth="1"/>
    <col min="14854" max="15104" width="9" style="14"/>
    <col min="15105" max="15105" width="5.125" style="14" customWidth="1"/>
    <col min="15106" max="15106" width="39.75" style="14" customWidth="1"/>
    <col min="15107" max="15108" width="12.75" style="14" customWidth="1"/>
    <col min="15109" max="15109" width="7.875" style="14" customWidth="1"/>
    <col min="15110" max="15360" width="9" style="14"/>
    <col min="15361" max="15361" width="5.125" style="14" customWidth="1"/>
    <col min="15362" max="15362" width="39.75" style="14" customWidth="1"/>
    <col min="15363" max="15364" width="12.75" style="14" customWidth="1"/>
    <col min="15365" max="15365" width="7.875" style="14" customWidth="1"/>
    <col min="15366" max="15616" width="9" style="14"/>
    <col min="15617" max="15617" width="5.125" style="14" customWidth="1"/>
    <col min="15618" max="15618" width="39.75" style="14" customWidth="1"/>
    <col min="15619" max="15620" width="12.75" style="14" customWidth="1"/>
    <col min="15621" max="15621" width="7.875" style="14" customWidth="1"/>
    <col min="15622" max="15872" width="9" style="14"/>
    <col min="15873" max="15873" width="5.125" style="14" customWidth="1"/>
    <col min="15874" max="15874" width="39.75" style="14" customWidth="1"/>
    <col min="15875" max="15876" width="12.75" style="14" customWidth="1"/>
    <col min="15877" max="15877" width="7.875" style="14" customWidth="1"/>
    <col min="15878" max="16128" width="9" style="14"/>
    <col min="16129" max="16129" width="5.125" style="14" customWidth="1"/>
    <col min="16130" max="16130" width="39.75" style="14" customWidth="1"/>
    <col min="16131" max="16132" width="12.75" style="14" customWidth="1"/>
    <col min="16133" max="16133" width="7.875" style="14" customWidth="1"/>
    <col min="16134" max="16384" width="9" style="14"/>
  </cols>
  <sheetData>
    <row r="1" spans="1:5" ht="67.5" customHeight="1">
      <c r="A1" s="13"/>
      <c r="B1" s="166" t="s">
        <v>85</v>
      </c>
      <c r="C1" s="166"/>
      <c r="D1" s="166"/>
    </row>
    <row r="2" spans="1:5" ht="63" customHeight="1" thickBot="1">
      <c r="A2" s="165" t="s">
        <v>13</v>
      </c>
      <c r="B2" s="165"/>
      <c r="C2" s="165"/>
      <c r="D2" s="165"/>
    </row>
    <row r="3" spans="1:5" ht="22.5" customHeight="1" thickBot="1">
      <c r="A3" s="15" t="s">
        <v>14</v>
      </c>
      <c r="B3" s="129" t="s">
        <v>15</v>
      </c>
      <c r="C3" s="15" t="s">
        <v>16</v>
      </c>
      <c r="D3" s="17" t="s">
        <v>17</v>
      </c>
    </row>
    <row r="4" spans="1:5" ht="15" customHeight="1" thickBot="1">
      <c r="A4" s="129"/>
      <c r="B4" s="130" t="s">
        <v>79</v>
      </c>
      <c r="C4" s="132">
        <f>SUM(C5,C8,C14,C16)</f>
        <v>2288925</v>
      </c>
      <c r="D4" s="132">
        <f>SUM(D5,D8,D14,D16)</f>
        <v>2288925</v>
      </c>
    </row>
    <row r="5" spans="1:5" ht="15" customHeight="1" thickBot="1">
      <c r="A5" s="160" t="s">
        <v>18</v>
      </c>
      <c r="B5" s="161"/>
      <c r="C5" s="18">
        <f>SUM(C6:C7)</f>
        <v>3020</v>
      </c>
      <c r="D5" s="19">
        <f>SUM(D6:D7)</f>
        <v>3020</v>
      </c>
    </row>
    <row r="6" spans="1:5" ht="26.25" customHeight="1">
      <c r="A6" s="20">
        <v>1</v>
      </c>
      <c r="B6" s="21" t="s">
        <v>80</v>
      </c>
      <c r="C6" s="22">
        <v>20</v>
      </c>
      <c r="D6" s="23">
        <v>20</v>
      </c>
      <c r="E6" s="24"/>
    </row>
    <row r="7" spans="1:5" ht="15" customHeight="1" thickBot="1">
      <c r="A7" s="25">
        <v>2</v>
      </c>
      <c r="B7" s="26" t="s">
        <v>81</v>
      </c>
      <c r="C7" s="27">
        <v>3000</v>
      </c>
      <c r="D7" s="28">
        <v>3000</v>
      </c>
      <c r="E7" s="24"/>
    </row>
    <row r="8" spans="1:5" ht="15" customHeight="1" thickBot="1">
      <c r="A8" s="160" t="s">
        <v>21</v>
      </c>
      <c r="B8" s="161"/>
      <c r="C8" s="29">
        <f>SUM(C9:C13)</f>
        <v>427597</v>
      </c>
      <c r="D8" s="30">
        <f>SUM(D9:D13)</f>
        <v>427597</v>
      </c>
      <c r="E8" s="24"/>
    </row>
    <row r="9" spans="1:5" ht="27" customHeight="1">
      <c r="A9" s="31">
        <v>1</v>
      </c>
      <c r="B9" s="32" t="s">
        <v>22</v>
      </c>
      <c r="C9" s="33">
        <v>62000</v>
      </c>
      <c r="D9" s="33">
        <v>62000</v>
      </c>
      <c r="E9" s="24"/>
    </row>
    <row r="10" spans="1:5" ht="27" customHeight="1">
      <c r="A10" s="35">
        <v>2</v>
      </c>
      <c r="B10" s="36" t="s">
        <v>23</v>
      </c>
      <c r="C10" s="37">
        <f>5866+4000</f>
        <v>9866</v>
      </c>
      <c r="D10" s="37">
        <f>5866+4000</f>
        <v>9866</v>
      </c>
      <c r="E10" s="24"/>
    </row>
    <row r="11" spans="1:5" ht="27" customHeight="1">
      <c r="A11" s="35">
        <v>3</v>
      </c>
      <c r="B11" s="36" t="s">
        <v>24</v>
      </c>
      <c r="C11" s="37">
        <f>500+1000</f>
        <v>1500</v>
      </c>
      <c r="D11" s="37">
        <f>500+1000</f>
        <v>1500</v>
      </c>
      <c r="E11" s="24"/>
    </row>
    <row r="12" spans="1:5" ht="27" customHeight="1">
      <c r="A12" s="35">
        <v>4</v>
      </c>
      <c r="B12" s="36" t="s">
        <v>26</v>
      </c>
      <c r="C12" s="37">
        <v>83000</v>
      </c>
      <c r="D12" s="37">
        <v>83000</v>
      </c>
      <c r="E12" s="24"/>
    </row>
    <row r="13" spans="1:5" s="40" customFormat="1" ht="27.75" customHeight="1" thickBot="1">
      <c r="A13" s="25">
        <v>5</v>
      </c>
      <c r="B13" s="39" t="s">
        <v>28</v>
      </c>
      <c r="C13" s="27">
        <v>271231</v>
      </c>
      <c r="D13" s="27">
        <v>271231</v>
      </c>
      <c r="E13" s="24"/>
    </row>
    <row r="14" spans="1:5" ht="15" customHeight="1" thickBot="1">
      <c r="A14" s="160" t="s">
        <v>29</v>
      </c>
      <c r="B14" s="161"/>
      <c r="C14" s="29">
        <f>SUM(C15)</f>
        <v>1526218</v>
      </c>
      <c r="D14" s="30">
        <f>SUM(D15)</f>
        <v>1526218</v>
      </c>
      <c r="E14" s="24"/>
    </row>
    <row r="15" spans="1:5" ht="15.75" customHeight="1" thickBot="1">
      <c r="A15" s="41">
        <v>1</v>
      </c>
      <c r="B15" s="133" t="s">
        <v>82</v>
      </c>
      <c r="C15" s="22">
        <v>1526218</v>
      </c>
      <c r="D15" s="22">
        <v>1526218</v>
      </c>
      <c r="E15" s="24"/>
    </row>
    <row r="16" spans="1:5" ht="15" customHeight="1" thickBot="1">
      <c r="A16" s="160" t="s">
        <v>31</v>
      </c>
      <c r="B16" s="161"/>
      <c r="C16" s="29">
        <f>SUM(C17)</f>
        <v>332090</v>
      </c>
      <c r="D16" s="30">
        <f>SUM(D17)</f>
        <v>332090</v>
      </c>
      <c r="E16" s="24"/>
    </row>
    <row r="17" spans="1:5" ht="15.75" customHeight="1" thickBot="1">
      <c r="A17" s="41">
        <v>1</v>
      </c>
      <c r="B17" s="133" t="s">
        <v>82</v>
      </c>
      <c r="C17" s="22">
        <v>332090</v>
      </c>
      <c r="D17" s="22">
        <v>332090</v>
      </c>
      <c r="E17" s="24"/>
    </row>
    <row r="18" spans="1:5" ht="15" customHeight="1" thickBot="1">
      <c r="A18" s="129"/>
      <c r="B18" s="130" t="s">
        <v>83</v>
      </c>
      <c r="C18" s="132">
        <f>SUM(C19,C21)</f>
        <v>2106913</v>
      </c>
      <c r="D18" s="132">
        <f>SUM(D19,D21)</f>
        <v>2106913</v>
      </c>
      <c r="E18" s="24"/>
    </row>
    <row r="19" spans="1:5" ht="15" customHeight="1" thickBot="1">
      <c r="A19" s="160" t="s">
        <v>36</v>
      </c>
      <c r="B19" s="161"/>
      <c r="C19" s="29">
        <f>SUM(C20:C20)</f>
        <v>389940</v>
      </c>
      <c r="D19" s="30">
        <f>SUM(D20:D20)</f>
        <v>389940</v>
      </c>
      <c r="E19" s="24"/>
    </row>
    <row r="20" spans="1:5" ht="29.25" customHeight="1" thickBot="1">
      <c r="A20" s="46">
        <v>1</v>
      </c>
      <c r="B20" s="47" t="s">
        <v>28</v>
      </c>
      <c r="C20" s="22">
        <v>389940</v>
      </c>
      <c r="D20" s="22">
        <v>389940</v>
      </c>
      <c r="E20" s="24"/>
    </row>
    <row r="21" spans="1:5" ht="15" customHeight="1" thickBot="1">
      <c r="A21" s="160" t="s">
        <v>84</v>
      </c>
      <c r="B21" s="161"/>
      <c r="C21" s="29">
        <f>SUM(C22:C22)</f>
        <v>1716973</v>
      </c>
      <c r="D21" s="30">
        <f>SUM(D22:D22)</f>
        <v>1716973</v>
      </c>
      <c r="E21" s="24"/>
    </row>
    <row r="22" spans="1:5" ht="17.25" customHeight="1" thickBot="1">
      <c r="A22" s="46">
        <v>1</v>
      </c>
      <c r="B22" s="133" t="s">
        <v>82</v>
      </c>
      <c r="C22" s="22">
        <v>1716973</v>
      </c>
      <c r="D22" s="22">
        <v>1716973</v>
      </c>
      <c r="E22" s="24"/>
    </row>
    <row r="23" spans="1:5" ht="24" customHeight="1" thickBot="1">
      <c r="A23" s="162" t="s">
        <v>38</v>
      </c>
      <c r="B23" s="163"/>
      <c r="C23" s="48">
        <f>SUM(C4,C18)</f>
        <v>4395838</v>
      </c>
      <c r="D23" s="48">
        <f>SUM(D4,D18)</f>
        <v>4395838</v>
      </c>
      <c r="E23" s="24"/>
    </row>
    <row r="24" spans="1:5" ht="12.75" customHeight="1">
      <c r="A24" s="49"/>
      <c r="B24" s="49"/>
      <c r="C24" s="50"/>
      <c r="D24" s="50"/>
    </row>
    <row r="26" spans="1:5">
      <c r="A26" s="51"/>
      <c r="B26" s="52"/>
      <c r="C26" s="53"/>
      <c r="D26" s="53"/>
    </row>
    <row r="530" spans="17:17">
      <c r="Q530" s="14">
        <f>P530-O530</f>
        <v>0</v>
      </c>
    </row>
  </sheetData>
  <mergeCells count="9">
    <mergeCell ref="A19:B19"/>
    <mergeCell ref="A21:B21"/>
    <mergeCell ref="A23:B23"/>
    <mergeCell ref="B1:D1"/>
    <mergeCell ref="A2:D2"/>
    <mergeCell ref="A5:B5"/>
    <mergeCell ref="A8:B8"/>
    <mergeCell ref="A14:B14"/>
    <mergeCell ref="A16:B16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FF33"/>
  </sheetPr>
  <dimension ref="A1:E27"/>
  <sheetViews>
    <sheetView view="pageBreakPreview" topLeftCell="A3" zoomScaleNormal="100" zoomScaleSheetLayoutView="100" workbookViewId="0">
      <selection activeCell="P11" sqref="P11"/>
    </sheetView>
  </sheetViews>
  <sheetFormatPr defaultRowHeight="12.75"/>
  <cols>
    <col min="1" max="1" width="5.125" style="14" customWidth="1"/>
    <col min="2" max="2" width="43.5" style="14" customWidth="1"/>
    <col min="3" max="4" width="12.75" style="14" customWidth="1"/>
    <col min="5" max="5" width="7.875" style="14" customWidth="1"/>
    <col min="6" max="256" width="9" style="14"/>
    <col min="257" max="257" width="5.125" style="14" customWidth="1"/>
    <col min="258" max="258" width="39.75" style="14" customWidth="1"/>
    <col min="259" max="260" width="12.75" style="14" customWidth="1"/>
    <col min="261" max="261" width="7.875" style="14" customWidth="1"/>
    <col min="262" max="512" width="9" style="14"/>
    <col min="513" max="513" width="5.125" style="14" customWidth="1"/>
    <col min="514" max="514" width="39.75" style="14" customWidth="1"/>
    <col min="515" max="516" width="12.75" style="14" customWidth="1"/>
    <col min="517" max="517" width="7.875" style="14" customWidth="1"/>
    <col min="518" max="768" width="9" style="14"/>
    <col min="769" max="769" width="5.125" style="14" customWidth="1"/>
    <col min="770" max="770" width="39.75" style="14" customWidth="1"/>
    <col min="771" max="772" width="12.75" style="14" customWidth="1"/>
    <col min="773" max="773" width="7.875" style="14" customWidth="1"/>
    <col min="774" max="1024" width="9" style="14"/>
    <col min="1025" max="1025" width="5.125" style="14" customWidth="1"/>
    <col min="1026" max="1026" width="39.75" style="14" customWidth="1"/>
    <col min="1027" max="1028" width="12.75" style="14" customWidth="1"/>
    <col min="1029" max="1029" width="7.875" style="14" customWidth="1"/>
    <col min="1030" max="1280" width="9" style="14"/>
    <col min="1281" max="1281" width="5.125" style="14" customWidth="1"/>
    <col min="1282" max="1282" width="39.75" style="14" customWidth="1"/>
    <col min="1283" max="1284" width="12.75" style="14" customWidth="1"/>
    <col min="1285" max="1285" width="7.875" style="14" customWidth="1"/>
    <col min="1286" max="1536" width="9" style="14"/>
    <col min="1537" max="1537" width="5.125" style="14" customWidth="1"/>
    <col min="1538" max="1538" width="39.75" style="14" customWidth="1"/>
    <col min="1539" max="1540" width="12.75" style="14" customWidth="1"/>
    <col min="1541" max="1541" width="7.875" style="14" customWidth="1"/>
    <col min="1542" max="1792" width="9" style="14"/>
    <col min="1793" max="1793" width="5.125" style="14" customWidth="1"/>
    <col min="1794" max="1794" width="39.75" style="14" customWidth="1"/>
    <col min="1795" max="1796" width="12.75" style="14" customWidth="1"/>
    <col min="1797" max="1797" width="7.875" style="14" customWidth="1"/>
    <col min="1798" max="2048" width="9" style="14"/>
    <col min="2049" max="2049" width="5.125" style="14" customWidth="1"/>
    <col min="2050" max="2050" width="39.75" style="14" customWidth="1"/>
    <col min="2051" max="2052" width="12.75" style="14" customWidth="1"/>
    <col min="2053" max="2053" width="7.875" style="14" customWidth="1"/>
    <col min="2054" max="2304" width="9" style="14"/>
    <col min="2305" max="2305" width="5.125" style="14" customWidth="1"/>
    <col min="2306" max="2306" width="39.75" style="14" customWidth="1"/>
    <col min="2307" max="2308" width="12.75" style="14" customWidth="1"/>
    <col min="2309" max="2309" width="7.875" style="14" customWidth="1"/>
    <col min="2310" max="2560" width="9" style="14"/>
    <col min="2561" max="2561" width="5.125" style="14" customWidth="1"/>
    <col min="2562" max="2562" width="39.75" style="14" customWidth="1"/>
    <col min="2563" max="2564" width="12.75" style="14" customWidth="1"/>
    <col min="2565" max="2565" width="7.875" style="14" customWidth="1"/>
    <col min="2566" max="2816" width="9" style="14"/>
    <col min="2817" max="2817" width="5.125" style="14" customWidth="1"/>
    <col min="2818" max="2818" width="39.75" style="14" customWidth="1"/>
    <col min="2819" max="2820" width="12.75" style="14" customWidth="1"/>
    <col min="2821" max="2821" width="7.875" style="14" customWidth="1"/>
    <col min="2822" max="3072" width="9" style="14"/>
    <col min="3073" max="3073" width="5.125" style="14" customWidth="1"/>
    <col min="3074" max="3074" width="39.75" style="14" customWidth="1"/>
    <col min="3075" max="3076" width="12.75" style="14" customWidth="1"/>
    <col min="3077" max="3077" width="7.875" style="14" customWidth="1"/>
    <col min="3078" max="3328" width="9" style="14"/>
    <col min="3329" max="3329" width="5.125" style="14" customWidth="1"/>
    <col min="3330" max="3330" width="39.75" style="14" customWidth="1"/>
    <col min="3331" max="3332" width="12.75" style="14" customWidth="1"/>
    <col min="3333" max="3333" width="7.875" style="14" customWidth="1"/>
    <col min="3334" max="3584" width="9" style="14"/>
    <col min="3585" max="3585" width="5.125" style="14" customWidth="1"/>
    <col min="3586" max="3586" width="39.75" style="14" customWidth="1"/>
    <col min="3587" max="3588" width="12.75" style="14" customWidth="1"/>
    <col min="3589" max="3589" width="7.875" style="14" customWidth="1"/>
    <col min="3590" max="3840" width="9" style="14"/>
    <col min="3841" max="3841" width="5.125" style="14" customWidth="1"/>
    <col min="3842" max="3842" width="39.75" style="14" customWidth="1"/>
    <col min="3843" max="3844" width="12.75" style="14" customWidth="1"/>
    <col min="3845" max="3845" width="7.875" style="14" customWidth="1"/>
    <col min="3846" max="4096" width="9" style="14"/>
    <col min="4097" max="4097" width="5.125" style="14" customWidth="1"/>
    <col min="4098" max="4098" width="39.75" style="14" customWidth="1"/>
    <col min="4099" max="4100" width="12.75" style="14" customWidth="1"/>
    <col min="4101" max="4101" width="7.875" style="14" customWidth="1"/>
    <col min="4102" max="4352" width="9" style="14"/>
    <col min="4353" max="4353" width="5.125" style="14" customWidth="1"/>
    <col min="4354" max="4354" width="39.75" style="14" customWidth="1"/>
    <col min="4355" max="4356" width="12.75" style="14" customWidth="1"/>
    <col min="4357" max="4357" width="7.875" style="14" customWidth="1"/>
    <col min="4358" max="4608" width="9" style="14"/>
    <col min="4609" max="4609" width="5.125" style="14" customWidth="1"/>
    <col min="4610" max="4610" width="39.75" style="14" customWidth="1"/>
    <col min="4611" max="4612" width="12.75" style="14" customWidth="1"/>
    <col min="4613" max="4613" width="7.875" style="14" customWidth="1"/>
    <col min="4614" max="4864" width="9" style="14"/>
    <col min="4865" max="4865" width="5.125" style="14" customWidth="1"/>
    <col min="4866" max="4866" width="39.75" style="14" customWidth="1"/>
    <col min="4867" max="4868" width="12.75" style="14" customWidth="1"/>
    <col min="4869" max="4869" width="7.875" style="14" customWidth="1"/>
    <col min="4870" max="5120" width="9" style="14"/>
    <col min="5121" max="5121" width="5.125" style="14" customWidth="1"/>
    <col min="5122" max="5122" width="39.75" style="14" customWidth="1"/>
    <col min="5123" max="5124" width="12.75" style="14" customWidth="1"/>
    <col min="5125" max="5125" width="7.875" style="14" customWidth="1"/>
    <col min="5126" max="5376" width="9" style="14"/>
    <col min="5377" max="5377" width="5.125" style="14" customWidth="1"/>
    <col min="5378" max="5378" width="39.75" style="14" customWidth="1"/>
    <col min="5379" max="5380" width="12.75" style="14" customWidth="1"/>
    <col min="5381" max="5381" width="7.875" style="14" customWidth="1"/>
    <col min="5382" max="5632" width="9" style="14"/>
    <col min="5633" max="5633" width="5.125" style="14" customWidth="1"/>
    <col min="5634" max="5634" width="39.75" style="14" customWidth="1"/>
    <col min="5635" max="5636" width="12.75" style="14" customWidth="1"/>
    <col min="5637" max="5637" width="7.875" style="14" customWidth="1"/>
    <col min="5638" max="5888" width="9" style="14"/>
    <col min="5889" max="5889" width="5.125" style="14" customWidth="1"/>
    <col min="5890" max="5890" width="39.75" style="14" customWidth="1"/>
    <col min="5891" max="5892" width="12.75" style="14" customWidth="1"/>
    <col min="5893" max="5893" width="7.875" style="14" customWidth="1"/>
    <col min="5894" max="6144" width="9" style="14"/>
    <col min="6145" max="6145" width="5.125" style="14" customWidth="1"/>
    <col min="6146" max="6146" width="39.75" style="14" customWidth="1"/>
    <col min="6147" max="6148" width="12.75" style="14" customWidth="1"/>
    <col min="6149" max="6149" width="7.875" style="14" customWidth="1"/>
    <col min="6150" max="6400" width="9" style="14"/>
    <col min="6401" max="6401" width="5.125" style="14" customWidth="1"/>
    <col min="6402" max="6402" width="39.75" style="14" customWidth="1"/>
    <col min="6403" max="6404" width="12.75" style="14" customWidth="1"/>
    <col min="6405" max="6405" width="7.875" style="14" customWidth="1"/>
    <col min="6406" max="6656" width="9" style="14"/>
    <col min="6657" max="6657" width="5.125" style="14" customWidth="1"/>
    <col min="6658" max="6658" width="39.75" style="14" customWidth="1"/>
    <col min="6659" max="6660" width="12.75" style="14" customWidth="1"/>
    <col min="6661" max="6661" width="7.875" style="14" customWidth="1"/>
    <col min="6662" max="6912" width="9" style="14"/>
    <col min="6913" max="6913" width="5.125" style="14" customWidth="1"/>
    <col min="6914" max="6914" width="39.75" style="14" customWidth="1"/>
    <col min="6915" max="6916" width="12.75" style="14" customWidth="1"/>
    <col min="6917" max="6917" width="7.875" style="14" customWidth="1"/>
    <col min="6918" max="7168" width="9" style="14"/>
    <col min="7169" max="7169" width="5.125" style="14" customWidth="1"/>
    <col min="7170" max="7170" width="39.75" style="14" customWidth="1"/>
    <col min="7171" max="7172" width="12.75" style="14" customWidth="1"/>
    <col min="7173" max="7173" width="7.875" style="14" customWidth="1"/>
    <col min="7174" max="7424" width="9" style="14"/>
    <col min="7425" max="7425" width="5.125" style="14" customWidth="1"/>
    <col min="7426" max="7426" width="39.75" style="14" customWidth="1"/>
    <col min="7427" max="7428" width="12.75" style="14" customWidth="1"/>
    <col min="7429" max="7429" width="7.875" style="14" customWidth="1"/>
    <col min="7430" max="7680" width="9" style="14"/>
    <col min="7681" max="7681" width="5.125" style="14" customWidth="1"/>
    <col min="7682" max="7682" width="39.75" style="14" customWidth="1"/>
    <col min="7683" max="7684" width="12.75" style="14" customWidth="1"/>
    <col min="7685" max="7685" width="7.875" style="14" customWidth="1"/>
    <col min="7686" max="7936" width="9" style="14"/>
    <col min="7937" max="7937" width="5.125" style="14" customWidth="1"/>
    <col min="7938" max="7938" width="39.75" style="14" customWidth="1"/>
    <col min="7939" max="7940" width="12.75" style="14" customWidth="1"/>
    <col min="7941" max="7941" width="7.875" style="14" customWidth="1"/>
    <col min="7942" max="8192" width="9" style="14"/>
    <col min="8193" max="8193" width="5.125" style="14" customWidth="1"/>
    <col min="8194" max="8194" width="39.75" style="14" customWidth="1"/>
    <col min="8195" max="8196" width="12.75" style="14" customWidth="1"/>
    <col min="8197" max="8197" width="7.875" style="14" customWidth="1"/>
    <col min="8198" max="8448" width="9" style="14"/>
    <col min="8449" max="8449" width="5.125" style="14" customWidth="1"/>
    <col min="8450" max="8450" width="39.75" style="14" customWidth="1"/>
    <col min="8451" max="8452" width="12.75" style="14" customWidth="1"/>
    <col min="8453" max="8453" width="7.875" style="14" customWidth="1"/>
    <col min="8454" max="8704" width="9" style="14"/>
    <col min="8705" max="8705" width="5.125" style="14" customWidth="1"/>
    <col min="8706" max="8706" width="39.75" style="14" customWidth="1"/>
    <col min="8707" max="8708" width="12.75" style="14" customWidth="1"/>
    <col min="8709" max="8709" width="7.875" style="14" customWidth="1"/>
    <col min="8710" max="8960" width="9" style="14"/>
    <col min="8961" max="8961" width="5.125" style="14" customWidth="1"/>
    <col min="8962" max="8962" width="39.75" style="14" customWidth="1"/>
    <col min="8963" max="8964" width="12.75" style="14" customWidth="1"/>
    <col min="8965" max="8965" width="7.875" style="14" customWidth="1"/>
    <col min="8966" max="9216" width="9" style="14"/>
    <col min="9217" max="9217" width="5.125" style="14" customWidth="1"/>
    <col min="9218" max="9218" width="39.75" style="14" customWidth="1"/>
    <col min="9219" max="9220" width="12.75" style="14" customWidth="1"/>
    <col min="9221" max="9221" width="7.875" style="14" customWidth="1"/>
    <col min="9222" max="9472" width="9" style="14"/>
    <col min="9473" max="9473" width="5.125" style="14" customWidth="1"/>
    <col min="9474" max="9474" width="39.75" style="14" customWidth="1"/>
    <col min="9475" max="9476" width="12.75" style="14" customWidth="1"/>
    <col min="9477" max="9477" width="7.875" style="14" customWidth="1"/>
    <col min="9478" max="9728" width="9" style="14"/>
    <col min="9729" max="9729" width="5.125" style="14" customWidth="1"/>
    <col min="9730" max="9730" width="39.75" style="14" customWidth="1"/>
    <col min="9731" max="9732" width="12.75" style="14" customWidth="1"/>
    <col min="9733" max="9733" width="7.875" style="14" customWidth="1"/>
    <col min="9734" max="9984" width="9" style="14"/>
    <col min="9985" max="9985" width="5.125" style="14" customWidth="1"/>
    <col min="9986" max="9986" width="39.75" style="14" customWidth="1"/>
    <col min="9987" max="9988" width="12.75" style="14" customWidth="1"/>
    <col min="9989" max="9989" width="7.875" style="14" customWidth="1"/>
    <col min="9990" max="10240" width="9" style="14"/>
    <col min="10241" max="10241" width="5.125" style="14" customWidth="1"/>
    <col min="10242" max="10242" width="39.75" style="14" customWidth="1"/>
    <col min="10243" max="10244" width="12.75" style="14" customWidth="1"/>
    <col min="10245" max="10245" width="7.875" style="14" customWidth="1"/>
    <col min="10246" max="10496" width="9" style="14"/>
    <col min="10497" max="10497" width="5.125" style="14" customWidth="1"/>
    <col min="10498" max="10498" width="39.75" style="14" customWidth="1"/>
    <col min="10499" max="10500" width="12.75" style="14" customWidth="1"/>
    <col min="10501" max="10501" width="7.875" style="14" customWidth="1"/>
    <col min="10502" max="10752" width="9" style="14"/>
    <col min="10753" max="10753" width="5.125" style="14" customWidth="1"/>
    <col min="10754" max="10754" width="39.75" style="14" customWidth="1"/>
    <col min="10755" max="10756" width="12.75" style="14" customWidth="1"/>
    <col min="10757" max="10757" width="7.875" style="14" customWidth="1"/>
    <col min="10758" max="11008" width="9" style="14"/>
    <col min="11009" max="11009" width="5.125" style="14" customWidth="1"/>
    <col min="11010" max="11010" width="39.75" style="14" customWidth="1"/>
    <col min="11011" max="11012" width="12.75" style="14" customWidth="1"/>
    <col min="11013" max="11013" width="7.875" style="14" customWidth="1"/>
    <col min="11014" max="11264" width="9" style="14"/>
    <col min="11265" max="11265" width="5.125" style="14" customWidth="1"/>
    <col min="11266" max="11266" width="39.75" style="14" customWidth="1"/>
    <col min="11267" max="11268" width="12.75" style="14" customWidth="1"/>
    <col min="11269" max="11269" width="7.875" style="14" customWidth="1"/>
    <col min="11270" max="11520" width="9" style="14"/>
    <col min="11521" max="11521" width="5.125" style="14" customWidth="1"/>
    <col min="11522" max="11522" width="39.75" style="14" customWidth="1"/>
    <col min="11523" max="11524" width="12.75" style="14" customWidth="1"/>
    <col min="11525" max="11525" width="7.875" style="14" customWidth="1"/>
    <col min="11526" max="11776" width="9" style="14"/>
    <col min="11777" max="11777" width="5.125" style="14" customWidth="1"/>
    <col min="11778" max="11778" width="39.75" style="14" customWidth="1"/>
    <col min="11779" max="11780" width="12.75" style="14" customWidth="1"/>
    <col min="11781" max="11781" width="7.875" style="14" customWidth="1"/>
    <col min="11782" max="12032" width="9" style="14"/>
    <col min="12033" max="12033" width="5.125" style="14" customWidth="1"/>
    <col min="12034" max="12034" width="39.75" style="14" customWidth="1"/>
    <col min="12035" max="12036" width="12.75" style="14" customWidth="1"/>
    <col min="12037" max="12037" width="7.875" style="14" customWidth="1"/>
    <col min="12038" max="12288" width="9" style="14"/>
    <col min="12289" max="12289" width="5.125" style="14" customWidth="1"/>
    <col min="12290" max="12290" width="39.75" style="14" customWidth="1"/>
    <col min="12291" max="12292" width="12.75" style="14" customWidth="1"/>
    <col min="12293" max="12293" width="7.875" style="14" customWidth="1"/>
    <col min="12294" max="12544" width="9" style="14"/>
    <col min="12545" max="12545" width="5.125" style="14" customWidth="1"/>
    <col min="12546" max="12546" width="39.75" style="14" customWidth="1"/>
    <col min="12547" max="12548" width="12.75" style="14" customWidth="1"/>
    <col min="12549" max="12549" width="7.875" style="14" customWidth="1"/>
    <col min="12550" max="12800" width="9" style="14"/>
    <col min="12801" max="12801" width="5.125" style="14" customWidth="1"/>
    <col min="12802" max="12802" width="39.75" style="14" customWidth="1"/>
    <col min="12803" max="12804" width="12.75" style="14" customWidth="1"/>
    <col min="12805" max="12805" width="7.875" style="14" customWidth="1"/>
    <col min="12806" max="13056" width="9" style="14"/>
    <col min="13057" max="13057" width="5.125" style="14" customWidth="1"/>
    <col min="13058" max="13058" width="39.75" style="14" customWidth="1"/>
    <col min="13059" max="13060" width="12.75" style="14" customWidth="1"/>
    <col min="13061" max="13061" width="7.875" style="14" customWidth="1"/>
    <col min="13062" max="13312" width="9" style="14"/>
    <col min="13313" max="13313" width="5.125" style="14" customWidth="1"/>
    <col min="13314" max="13314" width="39.75" style="14" customWidth="1"/>
    <col min="13315" max="13316" width="12.75" style="14" customWidth="1"/>
    <col min="13317" max="13317" width="7.875" style="14" customWidth="1"/>
    <col min="13318" max="13568" width="9" style="14"/>
    <col min="13569" max="13569" width="5.125" style="14" customWidth="1"/>
    <col min="13570" max="13570" width="39.75" style="14" customWidth="1"/>
    <col min="13571" max="13572" width="12.75" style="14" customWidth="1"/>
    <col min="13573" max="13573" width="7.875" style="14" customWidth="1"/>
    <col min="13574" max="13824" width="9" style="14"/>
    <col min="13825" max="13825" width="5.125" style="14" customWidth="1"/>
    <col min="13826" max="13826" width="39.75" style="14" customWidth="1"/>
    <col min="13827" max="13828" width="12.75" style="14" customWidth="1"/>
    <col min="13829" max="13829" width="7.875" style="14" customWidth="1"/>
    <col min="13830" max="14080" width="9" style="14"/>
    <col min="14081" max="14081" width="5.125" style="14" customWidth="1"/>
    <col min="14082" max="14082" width="39.75" style="14" customWidth="1"/>
    <col min="14083" max="14084" width="12.75" style="14" customWidth="1"/>
    <col min="14085" max="14085" width="7.875" style="14" customWidth="1"/>
    <col min="14086" max="14336" width="9" style="14"/>
    <col min="14337" max="14337" width="5.125" style="14" customWidth="1"/>
    <col min="14338" max="14338" width="39.75" style="14" customWidth="1"/>
    <col min="14339" max="14340" width="12.75" style="14" customWidth="1"/>
    <col min="14341" max="14341" width="7.875" style="14" customWidth="1"/>
    <col min="14342" max="14592" width="9" style="14"/>
    <col min="14593" max="14593" width="5.125" style="14" customWidth="1"/>
    <col min="14594" max="14594" width="39.75" style="14" customWidth="1"/>
    <col min="14595" max="14596" width="12.75" style="14" customWidth="1"/>
    <col min="14597" max="14597" width="7.875" style="14" customWidth="1"/>
    <col min="14598" max="14848" width="9" style="14"/>
    <col min="14849" max="14849" width="5.125" style="14" customWidth="1"/>
    <col min="14850" max="14850" width="39.75" style="14" customWidth="1"/>
    <col min="14851" max="14852" width="12.75" style="14" customWidth="1"/>
    <col min="14853" max="14853" width="7.875" style="14" customWidth="1"/>
    <col min="14854" max="15104" width="9" style="14"/>
    <col min="15105" max="15105" width="5.125" style="14" customWidth="1"/>
    <col min="15106" max="15106" width="39.75" style="14" customWidth="1"/>
    <col min="15107" max="15108" width="12.75" style="14" customWidth="1"/>
    <col min="15109" max="15109" width="7.875" style="14" customWidth="1"/>
    <col min="15110" max="15360" width="9" style="14"/>
    <col min="15361" max="15361" width="5.125" style="14" customWidth="1"/>
    <col min="15362" max="15362" width="39.75" style="14" customWidth="1"/>
    <col min="15363" max="15364" width="12.75" style="14" customWidth="1"/>
    <col min="15365" max="15365" width="7.875" style="14" customWidth="1"/>
    <col min="15366" max="15616" width="9" style="14"/>
    <col min="15617" max="15617" width="5.125" style="14" customWidth="1"/>
    <col min="15618" max="15618" width="39.75" style="14" customWidth="1"/>
    <col min="15619" max="15620" width="12.75" style="14" customWidth="1"/>
    <col min="15621" max="15621" width="7.875" style="14" customWidth="1"/>
    <col min="15622" max="15872" width="9" style="14"/>
    <col min="15873" max="15873" width="5.125" style="14" customWidth="1"/>
    <col min="15874" max="15874" width="39.75" style="14" customWidth="1"/>
    <col min="15875" max="15876" width="12.75" style="14" customWidth="1"/>
    <col min="15877" max="15877" width="7.875" style="14" customWidth="1"/>
    <col min="15878" max="16128" width="9" style="14"/>
    <col min="16129" max="16129" width="5.125" style="14" customWidth="1"/>
    <col min="16130" max="16130" width="39.75" style="14" customWidth="1"/>
    <col min="16131" max="16132" width="12.75" style="14" customWidth="1"/>
    <col min="16133" max="16133" width="7.875" style="14" customWidth="1"/>
    <col min="16134" max="16384" width="9" style="14"/>
  </cols>
  <sheetData>
    <row r="1" spans="1:5" ht="76.5" customHeight="1">
      <c r="A1" s="13"/>
      <c r="B1" s="164" t="s">
        <v>12</v>
      </c>
      <c r="C1" s="164"/>
      <c r="D1" s="164"/>
    </row>
    <row r="2" spans="1:5" ht="63" customHeight="1" thickBot="1">
      <c r="A2" s="165" t="s">
        <v>13</v>
      </c>
      <c r="B2" s="165"/>
      <c r="C2" s="165"/>
      <c r="D2" s="165"/>
    </row>
    <row r="3" spans="1:5" ht="22.5" customHeight="1" thickBot="1">
      <c r="A3" s="15" t="s">
        <v>14</v>
      </c>
      <c r="B3" s="16" t="s">
        <v>15</v>
      </c>
      <c r="C3" s="15" t="s">
        <v>16</v>
      </c>
      <c r="D3" s="17" t="s">
        <v>17</v>
      </c>
    </row>
    <row r="4" spans="1:5" ht="15" customHeight="1" thickBot="1">
      <c r="A4" s="160" t="s">
        <v>18</v>
      </c>
      <c r="B4" s="161"/>
      <c r="C4" s="18">
        <f>SUM(C5:C6)</f>
        <v>9020</v>
      </c>
      <c r="D4" s="19">
        <f>SUM(D5:D6)</f>
        <v>9020</v>
      </c>
    </row>
    <row r="5" spans="1:5" ht="26.25" customHeight="1">
      <c r="A5" s="20">
        <v>1</v>
      </c>
      <c r="B5" s="21" t="s">
        <v>19</v>
      </c>
      <c r="C5" s="22">
        <f>20+6000</f>
        <v>6020</v>
      </c>
      <c r="D5" s="23">
        <f>20+6000</f>
        <v>6020</v>
      </c>
      <c r="E5" s="24"/>
    </row>
    <row r="6" spans="1:5" ht="15" customHeight="1" thickBot="1">
      <c r="A6" s="25">
        <v>2</v>
      </c>
      <c r="B6" s="26" t="s">
        <v>20</v>
      </c>
      <c r="C6" s="27">
        <v>3000</v>
      </c>
      <c r="D6" s="28">
        <v>3000</v>
      </c>
      <c r="E6" s="24"/>
    </row>
    <row r="7" spans="1:5" ht="15" customHeight="1" thickBot="1">
      <c r="A7" s="160" t="s">
        <v>21</v>
      </c>
      <c r="B7" s="161"/>
      <c r="C7" s="29">
        <f>SUM(C8:C14)</f>
        <v>427851</v>
      </c>
      <c r="D7" s="30">
        <f>SUM(D8:D14)</f>
        <v>427851</v>
      </c>
      <c r="E7" s="24"/>
    </row>
    <row r="8" spans="1:5" ht="27" customHeight="1">
      <c r="A8" s="31">
        <v>1</v>
      </c>
      <c r="B8" s="32" t="s">
        <v>22</v>
      </c>
      <c r="C8" s="33">
        <f>64000+50000</f>
        <v>114000</v>
      </c>
      <c r="D8" s="34">
        <f>64000+50000</f>
        <v>114000</v>
      </c>
      <c r="E8" s="24"/>
    </row>
    <row r="9" spans="1:5" ht="27" customHeight="1">
      <c r="A9" s="35">
        <v>2</v>
      </c>
      <c r="B9" s="36" t="s">
        <v>23</v>
      </c>
      <c r="C9" s="37">
        <f>22034+4104+5220</f>
        <v>31358</v>
      </c>
      <c r="D9" s="38">
        <f>22034+4104+5220</f>
        <v>31358</v>
      </c>
      <c r="E9" s="24"/>
    </row>
    <row r="10" spans="1:5" ht="27" customHeight="1">
      <c r="A10" s="35">
        <v>3</v>
      </c>
      <c r="B10" s="36" t="s">
        <v>24</v>
      </c>
      <c r="C10" s="37">
        <f>1000+1000</f>
        <v>2000</v>
      </c>
      <c r="D10" s="38">
        <f>1000+1000</f>
        <v>2000</v>
      </c>
      <c r="E10" s="24"/>
    </row>
    <row r="11" spans="1:5" ht="27" customHeight="1">
      <c r="A11" s="35">
        <v>4</v>
      </c>
      <c r="B11" s="36" t="s">
        <v>25</v>
      </c>
      <c r="C11" s="37">
        <f>7300+6000</f>
        <v>13300</v>
      </c>
      <c r="D11" s="38">
        <f>7300+6000</f>
        <v>13300</v>
      </c>
      <c r="E11" s="24"/>
    </row>
    <row r="12" spans="1:5" ht="27" customHeight="1">
      <c r="A12" s="35">
        <v>5</v>
      </c>
      <c r="B12" s="36" t="s">
        <v>26</v>
      </c>
      <c r="C12" s="37">
        <f>51900+8800+11700</f>
        <v>72400</v>
      </c>
      <c r="D12" s="38">
        <f>51900+8800+11700</f>
        <v>72400</v>
      </c>
      <c r="E12" s="24"/>
    </row>
    <row r="13" spans="1:5" ht="27" customHeight="1">
      <c r="A13" s="35">
        <v>6</v>
      </c>
      <c r="B13" s="36" t="s">
        <v>27</v>
      </c>
      <c r="C13" s="37">
        <f>3500+1500</f>
        <v>5000</v>
      </c>
      <c r="D13" s="38">
        <f>3500+1500</f>
        <v>5000</v>
      </c>
      <c r="E13" s="24"/>
    </row>
    <row r="14" spans="1:5" s="40" customFormat="1" ht="27.75" customHeight="1" thickBot="1">
      <c r="A14" s="25">
        <v>7</v>
      </c>
      <c r="B14" s="39" t="s">
        <v>28</v>
      </c>
      <c r="C14" s="27">
        <f>171843+5000+12950</f>
        <v>189793</v>
      </c>
      <c r="D14" s="28">
        <f>171843+5000+12950</f>
        <v>189793</v>
      </c>
      <c r="E14" s="24"/>
    </row>
    <row r="15" spans="1:5" ht="15" customHeight="1" thickBot="1">
      <c r="A15" s="160" t="s">
        <v>29</v>
      </c>
      <c r="B15" s="161"/>
      <c r="C15" s="29">
        <f>SUM(C16)</f>
        <v>2300000</v>
      </c>
      <c r="D15" s="30">
        <f>SUM(D16)</f>
        <v>2300000</v>
      </c>
      <c r="E15" s="24"/>
    </row>
    <row r="16" spans="1:5" ht="15" customHeight="1" thickBot="1">
      <c r="A16" s="41">
        <v>1</v>
      </c>
      <c r="B16" s="13" t="s">
        <v>30</v>
      </c>
      <c r="C16" s="22">
        <v>2300000</v>
      </c>
      <c r="D16" s="23">
        <v>2300000</v>
      </c>
      <c r="E16" s="24"/>
    </row>
    <row r="17" spans="1:5" ht="15" customHeight="1" thickBot="1">
      <c r="A17" s="160" t="s">
        <v>31</v>
      </c>
      <c r="B17" s="161"/>
      <c r="C17" s="29">
        <f>SUM(C18:C21)</f>
        <v>345810</v>
      </c>
      <c r="D17" s="30">
        <f>SUM(D18:D21)</f>
        <v>345810</v>
      </c>
      <c r="E17" s="24"/>
    </row>
    <row r="18" spans="1:5" ht="15" customHeight="1">
      <c r="A18" s="31">
        <v>1</v>
      </c>
      <c r="B18" s="42" t="s">
        <v>32</v>
      </c>
      <c r="C18" s="33">
        <v>71000</v>
      </c>
      <c r="D18" s="34">
        <v>71000</v>
      </c>
      <c r="E18" s="24"/>
    </row>
    <row r="19" spans="1:5" s="40" customFormat="1" ht="15" customHeight="1">
      <c r="A19" s="35">
        <v>2</v>
      </c>
      <c r="B19" s="43" t="s">
        <v>33</v>
      </c>
      <c r="C19" s="37">
        <f>30300+1000+1000</f>
        <v>32300</v>
      </c>
      <c r="D19" s="38">
        <f>30300+1000+1000</f>
        <v>32300</v>
      </c>
      <c r="E19" s="44"/>
    </row>
    <row r="20" spans="1:5" ht="15" customHeight="1">
      <c r="A20" s="35">
        <v>3</v>
      </c>
      <c r="B20" s="43" t="s">
        <v>34</v>
      </c>
      <c r="C20" s="37">
        <f>170000+30000+6400</f>
        <v>206400</v>
      </c>
      <c r="D20" s="38">
        <f>170000+30000+6400</f>
        <v>206400</v>
      </c>
      <c r="E20" s="24"/>
    </row>
    <row r="21" spans="1:5" ht="15" customHeight="1" thickBot="1">
      <c r="A21" s="25">
        <v>4</v>
      </c>
      <c r="B21" s="45" t="s">
        <v>35</v>
      </c>
      <c r="C21" s="27">
        <f>34100+2010</f>
        <v>36110</v>
      </c>
      <c r="D21" s="28">
        <f>34100+2010</f>
        <v>36110</v>
      </c>
      <c r="E21" s="24"/>
    </row>
    <row r="22" spans="1:5" ht="15" customHeight="1" thickBot="1">
      <c r="A22" s="160" t="s">
        <v>36</v>
      </c>
      <c r="B22" s="161"/>
      <c r="C22" s="29">
        <f>SUM(C23:C23)</f>
        <v>230200</v>
      </c>
      <c r="D22" s="30">
        <f>SUM(D23:D23)</f>
        <v>230200</v>
      </c>
      <c r="E22" s="24"/>
    </row>
    <row r="23" spans="1:5" ht="29.25" customHeight="1" thickBot="1">
      <c r="A23" s="46">
        <v>1</v>
      </c>
      <c r="B23" s="47" t="s">
        <v>37</v>
      </c>
      <c r="C23" s="22">
        <f>208000+22200</f>
        <v>230200</v>
      </c>
      <c r="D23" s="23">
        <f>208000+22200</f>
        <v>230200</v>
      </c>
      <c r="E23" s="24"/>
    </row>
    <row r="24" spans="1:5" ht="24" customHeight="1" thickBot="1">
      <c r="A24" s="162" t="s">
        <v>38</v>
      </c>
      <c r="B24" s="163"/>
      <c r="C24" s="48">
        <f>SUM(C4,C7,C15,C17,C22)</f>
        <v>3312881</v>
      </c>
      <c r="D24" s="48">
        <f>SUM(D4,D7,D15,D17,D22)</f>
        <v>3312881</v>
      </c>
      <c r="E24" s="24"/>
    </row>
    <row r="25" spans="1:5" ht="12.75" customHeight="1">
      <c r="A25" s="49"/>
      <c r="B25" s="49"/>
      <c r="C25" s="50"/>
      <c r="D25" s="50"/>
    </row>
    <row r="27" spans="1:5">
      <c r="A27" s="51"/>
      <c r="B27" s="52"/>
      <c r="C27" s="53"/>
      <c r="D27" s="53"/>
    </row>
  </sheetData>
  <mergeCells count="8">
    <mergeCell ref="A22:B22"/>
    <mergeCell ref="A24:B24"/>
    <mergeCell ref="B1:D1"/>
    <mergeCell ref="A2:D2"/>
    <mergeCell ref="A4:B4"/>
    <mergeCell ref="A7:B7"/>
    <mergeCell ref="A15:B15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6</vt:i4>
      </vt:variant>
    </vt:vector>
  </HeadingPairs>
  <TitlesOfParts>
    <vt:vector size="10" baseType="lpstr">
      <vt:lpstr>Załącznik Nr 1</vt:lpstr>
      <vt:lpstr>Załącznik Nr 2 </vt:lpstr>
      <vt:lpstr>Załącznik  3</vt:lpstr>
      <vt:lpstr>Załącznik Nr 3</vt:lpstr>
      <vt:lpstr>'Załącznik  3'!Obszar_wydruku</vt:lpstr>
      <vt:lpstr>'Załącznik Nr 1'!Obszar_wydruku</vt:lpstr>
      <vt:lpstr>'Załącznik Nr 2 '!Obszar_wydruku</vt:lpstr>
      <vt:lpstr>'Załącznik Nr 3'!Obszar_wydruku</vt:lpstr>
      <vt:lpstr>'Załącznik Nr 1'!Tytuły_wydruku</vt:lpstr>
      <vt:lpstr>'Załącznik Nr 2 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Kowal Faustyna</cp:lastModifiedBy>
  <cp:lastPrinted>2024-02-13T13:17:35Z</cp:lastPrinted>
  <dcterms:created xsi:type="dcterms:W3CDTF">2013-02-21T12:03:23Z</dcterms:created>
  <dcterms:modified xsi:type="dcterms:W3CDTF">2024-02-13T13:19:02Z</dcterms:modified>
</cp:coreProperties>
</file>