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kowal\Desktop\do wysłania\2023\kwiecień\US zmiany w budżecie\"/>
    </mc:Choice>
  </mc:AlternateContent>
  <xr:revisionPtr revIDLastSave="0" documentId="13_ncr:1_{4D34B61E-8613-442D-8C52-8996DCBCFA1F}" xr6:coauthVersionLast="36" xr6:coauthVersionMax="47" xr10:uidLastSave="{00000000-0000-0000-0000-000000000000}"/>
  <bookViews>
    <workbookView xWindow="7230" yWindow="345" windowWidth="18465" windowHeight="13935" activeTab="2" xr2:uid="{00000000-000D-0000-FFFF-FFFF00000000}"/>
  </bookViews>
  <sheets>
    <sheet name="Załącznik Nr 1" sheetId="10" r:id="rId1"/>
    <sheet name="Załącznik Nr 2 " sheetId="11" r:id="rId2"/>
    <sheet name="Załącznik Nr3" sheetId="13" r:id="rId3"/>
    <sheet name="Załącznik Nr 3" sheetId="8" state="hidden" r:id="rId4"/>
  </sheets>
  <definedNames>
    <definedName name="nowwa">#REF!</definedName>
    <definedName name="Obszar_1093uku" localSheetId="2">#REF!</definedName>
    <definedName name="Obszar_1093uku">#REF!</definedName>
    <definedName name="_xlnm.Print_Area" localSheetId="0">'Załącznik Nr 1'!$A$1:$F$18</definedName>
    <definedName name="_xlnm.Print_Area" localSheetId="1">'Załącznik Nr 2 '!$A$1:$F$119</definedName>
    <definedName name="_xlnm.Print_Area" localSheetId="3">'Załącznik Nr 3'!$A$1:$D$24</definedName>
    <definedName name="_xlnm.Print_Area" localSheetId="2">'Załącznik Nr3'!$A$1:$D$23</definedName>
    <definedName name="_xlnm.Print_Titles" localSheetId="0">'Załącznik Nr 1'!$5:$7</definedName>
    <definedName name="_xlnm.Print_Titles" localSheetId="1">'Załącznik Nr 2 '!$5:$7</definedName>
  </definedNames>
  <calcPr calcId="191029"/>
</workbook>
</file>

<file path=xl/calcChain.xml><?xml version="1.0" encoding="utf-8"?>
<calcChain xmlns="http://schemas.openxmlformats.org/spreadsheetml/2006/main">
  <c r="G97" i="11" l="1"/>
  <c r="G96" i="11"/>
  <c r="G93" i="11"/>
  <c r="G92" i="11"/>
  <c r="G91" i="11"/>
  <c r="G90" i="11"/>
  <c r="G89" i="11"/>
  <c r="G88" i="11"/>
  <c r="F119" i="11" l="1"/>
  <c r="G105" i="11" l="1"/>
  <c r="H27" i="11"/>
  <c r="F114" i="11" l="1"/>
  <c r="G114" i="11" s="1"/>
  <c r="D13" i="13" l="1"/>
  <c r="C13" i="13"/>
  <c r="D9" i="13"/>
  <c r="C9" i="13"/>
  <c r="D11" i="13"/>
  <c r="C11" i="13"/>
  <c r="D10" i="13"/>
  <c r="C10" i="13"/>
  <c r="D6" i="13"/>
  <c r="C6" i="13"/>
  <c r="Q530" i="13" l="1"/>
  <c r="D21" i="13"/>
  <c r="D18" i="13" s="1"/>
  <c r="C21" i="13"/>
  <c r="C18" i="13" s="1"/>
  <c r="D19" i="13"/>
  <c r="C19" i="13"/>
  <c r="D16" i="13"/>
  <c r="C16" i="13"/>
  <c r="D14" i="13"/>
  <c r="C14" i="13"/>
  <c r="D8" i="13"/>
  <c r="C8" i="13"/>
  <c r="D5" i="13"/>
  <c r="C5" i="13"/>
  <c r="C4" i="13" s="1"/>
  <c r="D4" i="13" l="1"/>
  <c r="D23" i="13" s="1"/>
  <c r="C23" i="13"/>
  <c r="D119" i="11" l="1"/>
  <c r="D118" i="11"/>
  <c r="F18" i="10"/>
  <c r="F17" i="10"/>
  <c r="D18" i="10"/>
  <c r="F108" i="11" l="1"/>
  <c r="G113" i="11" s="1"/>
  <c r="D116" i="11"/>
  <c r="F53" i="11" l="1"/>
  <c r="F45" i="11"/>
  <c r="F44" i="11"/>
  <c r="F39" i="11"/>
  <c r="F38" i="11"/>
  <c r="F33" i="11"/>
  <c r="F32" i="11"/>
  <c r="F31" i="11"/>
  <c r="F30" i="11"/>
  <c r="F29" i="11"/>
  <c r="F28" i="11"/>
  <c r="G12" i="11"/>
  <c r="G10" i="11"/>
  <c r="G63" i="11" l="1"/>
  <c r="G53" i="11"/>
  <c r="F13" i="11"/>
  <c r="F86" i="11"/>
  <c r="F81" i="11"/>
  <c r="F78" i="11"/>
  <c r="F75" i="11"/>
  <c r="F72" i="11"/>
  <c r="F85" i="11"/>
  <c r="F83" i="11"/>
  <c r="F82" i="11"/>
  <c r="F80" i="11"/>
  <c r="F77" i="11"/>
  <c r="F74" i="11"/>
  <c r="F71" i="11"/>
  <c r="F55" i="11"/>
  <c r="F118" i="11" s="1"/>
  <c r="F63" i="11"/>
  <c r="D8" i="10"/>
  <c r="H86" i="11" l="1"/>
  <c r="G86" i="11"/>
  <c r="F116" i="11"/>
  <c r="G17" i="11"/>
  <c r="G18" i="11"/>
  <c r="G87" i="11" l="1"/>
  <c r="F15" i="10" l="1"/>
  <c r="D15" i="10"/>
  <c r="D17" i="10" l="1"/>
  <c r="G14" i="10"/>
  <c r="G27" i="11" l="1"/>
  <c r="G116" i="11" l="1"/>
  <c r="G115" i="11" l="1"/>
  <c r="G26" i="11" l="1"/>
  <c r="G118" i="11" l="1"/>
  <c r="G119" i="11"/>
  <c r="F120" i="11"/>
  <c r="F121" i="11" l="1"/>
  <c r="D120" i="11"/>
  <c r="D121" i="11" l="1"/>
  <c r="G120" i="11"/>
  <c r="D19" i="10" l="1"/>
  <c r="F19" i="10"/>
  <c r="D20" i="10" l="1"/>
  <c r="F20" i="10"/>
  <c r="G19" i="10"/>
  <c r="G15" i="10"/>
  <c r="C23" i="8" l="1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D10" i="8"/>
  <c r="C10" i="8"/>
  <c r="D8" i="8"/>
  <c r="C8" i="8"/>
  <c r="D5" i="8"/>
  <c r="D4" i="8" s="1"/>
  <c r="C5" i="8"/>
  <c r="C4" i="8" s="1"/>
  <c r="C7" i="8" l="1"/>
  <c r="C24" i="8" s="1"/>
  <c r="D7" i="8"/>
  <c r="D24" i="8" s="1"/>
</calcChain>
</file>

<file path=xl/sharedStrings.xml><?xml version="1.0" encoding="utf-8"?>
<sst xmlns="http://schemas.openxmlformats.org/spreadsheetml/2006/main" count="114" uniqueCount="79">
  <si>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</si>
  <si>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</si>
  <si>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</si>
  <si>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</si>
  <si>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</si>
  <si>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</si>
  <si>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</si>
  <si>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</si>
  <si>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</si>
  <si>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</si>
  <si>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</si>
  <si>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</si>
  <si>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</si>
  <si>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</si>
  <si>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</si>
  <si>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</si>
  <si>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</si>
  <si>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</si>
  <si>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</si>
  <si>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</si>
  <si>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</si>
  <si>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</si>
  <si>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</si>
  <si>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</si>
  <si>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</si>
  <si>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</si>
  <si>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</si>
  <si>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</si>
  <si>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</si>
  <si>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</si>
  <si>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</si>
  <si>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</si>
  <si>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</si>
  <si>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</si>
  <si>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</si>
  <si>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</si>
  <si>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</si>
  <si>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</si>
  <si>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</si>
  <si>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Zmiana planu dochodów w szczegółowości dział, rozdział, paragraf</t>
  </si>
  <si>
    <t>PLAN DOCHODÓW</t>
  </si>
  <si>
    <t>dochody bieżące</t>
  </si>
  <si>
    <t>dochody majątkowe</t>
  </si>
  <si>
    <t>921</t>
  </si>
  <si>
    <t>6257</t>
  </si>
  <si>
    <t>75863</t>
  </si>
  <si>
    <t>6209</t>
  </si>
  <si>
    <t>2009</t>
  </si>
  <si>
    <t>750</t>
  </si>
  <si>
    <t>600</t>
  </si>
  <si>
    <t>75095</t>
  </si>
  <si>
    <t>Załącznik  Nr 1
do projektu 
Uchwały Sejmiku 
w sprawie zmian w budżecie 
Województwa Podkarpackiego 
na 2023 r.</t>
  </si>
  <si>
    <t>Załącznik  Nr 2
do projektu 
Uchwały Sejmiku 
w sprawie zmian w budżecie 
Województwa Podkarpackiego 
na 2023 r.</t>
  </si>
  <si>
    <t>853</t>
  </si>
  <si>
    <t>801</t>
  </si>
  <si>
    <t>851</t>
  </si>
  <si>
    <t>60013</t>
  </si>
  <si>
    <t>2058</t>
  </si>
  <si>
    <t>754</t>
  </si>
  <si>
    <t>60002</t>
  </si>
  <si>
    <t>6350</t>
  </si>
  <si>
    <t>6300</t>
  </si>
  <si>
    <t>010</t>
  </si>
  <si>
    <t>01042</t>
  </si>
  <si>
    <t>75864</t>
  </si>
  <si>
    <t>700</t>
  </si>
  <si>
    <t>60014</t>
  </si>
  <si>
    <t>900</t>
  </si>
  <si>
    <t>730</t>
  </si>
  <si>
    <t>2008</t>
  </si>
  <si>
    <t>852</t>
  </si>
  <si>
    <t>DZIAŁ 801</t>
  </si>
  <si>
    <t xml:space="preserve">Zespół Szkół przy Klinicznym Szpitalu Wojewódzkim Nr 2 w Rzeszowie                 </t>
  </si>
  <si>
    <t>Zespół Szkół Specjalnych w Rymanowie Zdroju</t>
  </si>
  <si>
    <t>Podkarpacki Zespół Placówek Wojewódzkich w Rzeszowie</t>
  </si>
  <si>
    <t>DZIAŁ 854</t>
  </si>
  <si>
    <t>Rozdział 85417</t>
  </si>
  <si>
    <t>60015</t>
  </si>
  <si>
    <t>Załącznik Nr 3
do projektu 
Uchwały Sejmiku 
w sprawie zmian w budżecie 
Województwa Podkarpackiego 
na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</si>
</sst>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61">
    <xf numFmtId="0" fontId="0" fillId="0" borderId="0" xfId="0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top" wrapText="1"/>
    </xf>
    <xf numFmtId="3" fontId="8" fillId="0" borderId="0" xfId="0" applyNumberFormat="1" applyFont="1"/>
    <xf numFmtId="0" fontId="8" fillId="0" borderId="0" xfId="0" applyFont="1" applyAlignment="1">
      <alignment wrapText="1"/>
    </xf>
    <xf numFmtId="3" fontId="7" fillId="0" borderId="0" xfId="0" applyNumberFormat="1" applyFont="1"/>
    <xf numFmtId="3" fontId="8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9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6" xfId="2" applyNumberFormat="1" applyFont="1" applyBorder="1" applyAlignment="1">
      <alignment vertical="center"/>
    </xf>
    <xf numFmtId="3" fontId="4" fillId="0" borderId="0" xfId="2" applyNumberFormat="1"/>
    <xf numFmtId="0" fontId="1" fillId="0" borderId="12" xfId="2" applyFont="1" applyBorder="1" applyAlignment="1">
      <alignment horizontal="center" vertical="center"/>
    </xf>
    <xf numFmtId="0" fontId="1" fillId="0" borderId="14" xfId="13" applyFont="1" applyBorder="1" applyAlignment="1">
      <alignment wrapText="1"/>
    </xf>
    <xf numFmtId="3" fontId="1" fillId="0" borderId="15" xfId="2" applyNumberFormat="1" applyFont="1" applyBorder="1" applyAlignment="1">
      <alignment vertical="center"/>
    </xf>
    <xf numFmtId="3" fontId="1" fillId="0" borderId="17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9" xfId="2" applyNumberFormat="1" applyFont="1" applyFill="1" applyBorder="1" applyAlignment="1">
      <alignment vertical="center"/>
    </xf>
    <xf numFmtId="0" fontId="1" fillId="0" borderId="18" xfId="2" applyFont="1" applyBorder="1" applyAlignment="1">
      <alignment horizontal="center" vertical="center"/>
    </xf>
    <xf numFmtId="0" fontId="1" fillId="0" borderId="19" xfId="13" applyFont="1" applyBorder="1" applyAlignment="1">
      <alignment vertical="center" wrapText="1"/>
    </xf>
    <xf numFmtId="3" fontId="1" fillId="0" borderId="20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0" fontId="1" fillId="0" borderId="13" xfId="13" applyFont="1" applyBorder="1" applyAlignment="1">
      <alignment vertical="center" wrapText="1"/>
    </xf>
    <xf numFmtId="3" fontId="1" fillId="0" borderId="11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0" fontId="1" fillId="0" borderId="14" xfId="13" applyFont="1" applyBorder="1" applyAlignment="1">
      <alignment vertical="center" wrapText="1"/>
    </xf>
    <xf numFmtId="0" fontId="25" fillId="0" borderId="0" xfId="2" applyFont="1"/>
    <xf numFmtId="0" fontId="1" fillId="0" borderId="1" xfId="2" applyFont="1" applyBorder="1" applyAlignment="1">
      <alignment horizontal="center"/>
    </xf>
    <xf numFmtId="0" fontId="1" fillId="0" borderId="19" xfId="13" applyFont="1" applyBorder="1"/>
    <xf numFmtId="0" fontId="1" fillId="0" borderId="13" xfId="13" applyFont="1" applyBorder="1"/>
    <xf numFmtId="3" fontId="25" fillId="0" borderId="0" xfId="2" applyNumberFormat="1" applyFont="1"/>
    <xf numFmtId="0" fontId="1" fillId="0" borderId="14" xfId="13" applyFont="1" applyBorder="1"/>
    <xf numFmtId="0" fontId="1" fillId="0" borderId="1" xfId="2" applyFont="1" applyBorder="1" applyAlignment="1">
      <alignment horizontal="center" vertical="center"/>
    </xf>
    <xf numFmtId="0" fontId="1" fillId="0" borderId="19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Alignment="1">
      <alignment horizontal="center"/>
    </xf>
    <xf numFmtId="3" fontId="27" fillId="0" borderId="0" xfId="2" applyNumberFormat="1" applyFont="1"/>
    <xf numFmtId="0" fontId="28" fillId="0" borderId="0" xfId="2" applyFont="1" applyAlignment="1">
      <alignment horizontal="center"/>
    </xf>
    <xf numFmtId="0" fontId="28" fillId="0" borderId="0" xfId="13" applyFont="1" applyAlignment="1">
      <alignment wrapText="1"/>
    </xf>
    <xf numFmtId="3" fontId="28" fillId="0" borderId="0" xfId="2" applyNumberFormat="1" applyFont="1"/>
    <xf numFmtId="0" fontId="20" fillId="4" borderId="5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3" fontId="12" fillId="4" borderId="9" xfId="0" applyNumberFormat="1" applyFont="1" applyFill="1" applyBorder="1" applyAlignment="1">
      <alignment horizontal="right" vertical="center" wrapText="1"/>
    </xf>
    <xf numFmtId="3" fontId="18" fillId="3" borderId="9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2" xfId="0" applyNumberFormat="1" applyFont="1" applyBorder="1" applyAlignment="1">
      <alignment horizontal="right" vertical="center" wrapText="1"/>
    </xf>
    <xf numFmtId="0" fontId="19" fillId="0" borderId="24" xfId="0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3" fontId="19" fillId="0" borderId="20" xfId="0" applyNumberFormat="1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vertical="center" wrapText="1"/>
    </xf>
    <xf numFmtId="0" fontId="19" fillId="0" borderId="27" xfId="0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top" wrapText="1"/>
    </xf>
    <xf numFmtId="3" fontId="19" fillId="0" borderId="15" xfId="0" applyNumberFormat="1" applyFont="1" applyBorder="1" applyAlignment="1">
      <alignment horizontal="right" vertical="center" wrapText="1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5" xfId="0" applyNumberFormat="1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right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horizontal="center" vertical="top" wrapText="1"/>
    </xf>
    <xf numFmtId="3" fontId="19" fillId="0" borderId="20" xfId="0" applyNumberFormat="1" applyFont="1" applyBorder="1" applyAlignment="1">
      <alignment horizontal="right" vertical="center" wrapText="1"/>
    </xf>
    <xf numFmtId="49" fontId="19" fillId="0" borderId="19" xfId="0" applyNumberFormat="1" applyFont="1" applyBorder="1" applyAlignment="1">
      <alignment horizontal="center" vertical="top" wrapText="1"/>
    </xf>
    <xf numFmtId="49" fontId="19" fillId="0" borderId="27" xfId="0" applyNumberFormat="1" applyFont="1" applyBorder="1" applyAlignment="1">
      <alignment horizontal="center" vertical="top" wrapText="1"/>
    </xf>
    <xf numFmtId="3" fontId="19" fillId="0" borderId="12" xfId="0" applyNumberFormat="1" applyFont="1" applyBorder="1" applyAlignment="1">
      <alignment horizontal="right" vertical="center" wrapText="1"/>
    </xf>
    <xf numFmtId="49" fontId="19" fillId="0" borderId="28" xfId="0" applyNumberFormat="1" applyFont="1" applyBorder="1" applyAlignment="1">
      <alignment horizontal="center" vertical="top" wrapText="1"/>
    </xf>
    <xf numFmtId="49" fontId="19" fillId="0" borderId="6" xfId="0" applyNumberFormat="1" applyFont="1" applyBorder="1" applyAlignment="1">
      <alignment horizontal="center" vertical="top" wrapText="1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3" fontId="23" fillId="5" borderId="1" xfId="2" applyNumberFormat="1" applyFont="1" applyFill="1" applyBorder="1" applyAlignment="1">
      <alignment horizontal="right" vertical="center"/>
    </xf>
    <xf numFmtId="0" fontId="1" fillId="0" borderId="0" xfId="2" applyFont="1" applyAlignment="1">
      <alignment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4" fillId="6" borderId="6" xfId="2" applyFont="1" applyFill="1" applyBorder="1" applyAlignment="1">
      <alignment horizontal="left"/>
    </xf>
    <xf numFmtId="0" fontId="24" fillId="6" borderId="5" xfId="2" applyFont="1" applyFill="1" applyBorder="1" applyAlignment="1">
      <alignment horizontal="left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0" xfId="2" applyFont="1" applyBorder="1" applyAlignment="1">
      <alignment horizontal="center" vertical="center" wrapText="1"/>
    </xf>
  </cellXfs>
  <cellStyles count="14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  <cellStyle name="Normalny 3 2" xfId="4" xr:uid="{00000000-0005-0000-0000-000004000000}"/>
    <cellStyle name="Normalny 3 2 2" xfId="5" xr:uid="{00000000-0005-0000-0000-000005000000}"/>
    <cellStyle name="Normalny 4" xfId="6" xr:uid="{00000000-0005-0000-0000-000006000000}"/>
    <cellStyle name="Normalny 5" xfId="7" xr:uid="{00000000-0005-0000-0000-000007000000}"/>
    <cellStyle name="Normalny 5 2" xfId="12" xr:uid="{00000000-0005-0000-0000-000008000000}"/>
    <cellStyle name="Normalny 6" xfId="8" xr:uid="{00000000-0005-0000-0000-000009000000}"/>
    <cellStyle name="Normalny 7" xfId="11" xr:uid="{00000000-0005-0000-0000-00000A000000}"/>
    <cellStyle name="Normalny_Arkusz1" xfId="13" xr:uid="{00000000-0005-0000-0000-00000B000000}"/>
    <cellStyle name="Procentowy 2" xfId="9" xr:uid="{00000000-0005-0000-0000-00000C000000}"/>
    <cellStyle name="Walutowy 2" xfId="10" xr:uid="{00000000-0005-0000-0000-00000D000000}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AA0D-9D52-41BE-9841-2856F7792BCA}">
  <dimension ref="A1:I26"/>
  <sheetViews>
    <sheetView view="pageBreakPreview" topLeftCell="A4" zoomScaleSheetLayoutView="100" workbookViewId="0">
      <selection activeCell="K13" sqref="K13"/>
    </sheetView>
  </sheetViews>
  <sheetFormatPr defaultRowHeight="14.25"/>
  <cols>
    <col min="1" max="1" width="7" customWidth="1"/>
    <col min="2" max="2" width="12.3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</cols>
  <sheetData>
    <row r="1" spans="1:9" ht="74.25" customHeight="1">
      <c r="A1" s="134" t="s">
        <v>51</v>
      </c>
      <c r="B1" s="134"/>
      <c r="C1" s="134"/>
      <c r="D1" s="134"/>
      <c r="E1" s="134"/>
      <c r="F1" s="134"/>
    </row>
    <row r="2" spans="1:9" ht="10.5" customHeight="1">
      <c r="A2" s="9"/>
      <c r="B2" s="9"/>
      <c r="C2" s="69"/>
      <c r="D2" s="69"/>
      <c r="E2" s="69"/>
      <c r="F2" s="69"/>
    </row>
    <row r="3" spans="1:9" ht="22.5" customHeight="1">
      <c r="A3" s="135" t="s">
        <v>39</v>
      </c>
      <c r="B3" s="135"/>
      <c r="C3" s="135"/>
      <c r="D3" s="135"/>
      <c r="E3" s="135"/>
      <c r="F3" s="135"/>
    </row>
    <row r="4" spans="1:9" ht="13.5" customHeight="1" thickBot="1">
      <c r="A4" s="136"/>
      <c r="B4" s="136"/>
      <c r="C4" s="136"/>
      <c r="D4" s="136"/>
      <c r="E4" s="136"/>
      <c r="F4" s="136"/>
    </row>
    <row r="5" spans="1:9" ht="24.75" customHeight="1" thickBot="1">
      <c r="A5" s="137" t="s">
        <v>40</v>
      </c>
      <c r="B5" s="138"/>
      <c r="C5" s="138"/>
      <c r="D5" s="138"/>
      <c r="E5" s="138"/>
      <c r="F5" s="139"/>
    </row>
    <row r="6" spans="1:9" ht="19.5" customHeight="1" thickBot="1">
      <c r="A6" s="140" t="s">
        <v>0</v>
      </c>
      <c r="B6" s="142" t="s">
        <v>1</v>
      </c>
      <c r="C6" s="144" t="s">
        <v>7</v>
      </c>
      <c r="D6" s="144"/>
      <c r="E6" s="145" t="s">
        <v>6</v>
      </c>
      <c r="F6" s="146"/>
    </row>
    <row r="7" spans="1:9" ht="18.75" customHeight="1" thickBot="1">
      <c r="A7" s="141"/>
      <c r="B7" s="143"/>
      <c r="C7" s="54" t="s">
        <v>5</v>
      </c>
      <c r="D7" s="56" t="s">
        <v>4</v>
      </c>
      <c r="E7" s="56" t="s">
        <v>5</v>
      </c>
      <c r="F7" s="55" t="s">
        <v>4</v>
      </c>
    </row>
    <row r="8" spans="1:9" ht="18.75" customHeight="1" thickBot="1">
      <c r="A8" s="128">
        <v>600</v>
      </c>
      <c r="B8" s="109" t="s">
        <v>59</v>
      </c>
      <c r="C8" s="80" t="s">
        <v>44</v>
      </c>
      <c r="D8" s="73">
        <f>-3475685+32180</f>
        <v>-3443505</v>
      </c>
      <c r="E8" s="80"/>
      <c r="F8" s="73">
        <v>0</v>
      </c>
    </row>
    <row r="9" spans="1:9" ht="18.75" customHeight="1" thickBot="1">
      <c r="A9" s="129"/>
      <c r="B9" s="12" t="s">
        <v>56</v>
      </c>
      <c r="C9" s="102" t="s">
        <v>60</v>
      </c>
      <c r="D9" s="103">
        <v>-33379906</v>
      </c>
      <c r="E9" s="102" t="s">
        <v>61</v>
      </c>
      <c r="F9" s="103">
        <v>2000000</v>
      </c>
    </row>
    <row r="10" spans="1:9" ht="18.75" customHeight="1">
      <c r="A10" s="128">
        <v>750</v>
      </c>
      <c r="B10" s="130" t="s">
        <v>50</v>
      </c>
      <c r="C10" s="97"/>
      <c r="D10" s="73">
        <v>0</v>
      </c>
      <c r="E10" s="97" t="s">
        <v>69</v>
      </c>
      <c r="F10" s="73">
        <v>977500</v>
      </c>
    </row>
    <row r="11" spans="1:9" ht="18.75" customHeight="1" thickBot="1">
      <c r="A11" s="129"/>
      <c r="B11" s="131"/>
      <c r="C11" s="120"/>
      <c r="D11" s="121">
        <v>0</v>
      </c>
      <c r="E11" s="122" t="s">
        <v>47</v>
      </c>
      <c r="F11" s="121">
        <v>172500</v>
      </c>
    </row>
    <row r="12" spans="1:9" ht="18.75" customHeight="1">
      <c r="A12" s="128">
        <v>758</v>
      </c>
      <c r="B12" s="130" t="s">
        <v>45</v>
      </c>
      <c r="C12" s="117"/>
      <c r="D12" s="118">
        <v>0</v>
      </c>
      <c r="E12" s="119" t="s">
        <v>46</v>
      </c>
      <c r="F12" s="118">
        <v>447706</v>
      </c>
    </row>
    <row r="13" spans="1:9" ht="18.75" customHeight="1" thickBot="1">
      <c r="A13" s="133"/>
      <c r="B13" s="132"/>
      <c r="C13" s="99"/>
      <c r="D13" s="100">
        <v>0</v>
      </c>
      <c r="E13" s="101" t="s">
        <v>44</v>
      </c>
      <c r="F13" s="100">
        <v>5645924</v>
      </c>
    </row>
    <row r="14" spans="1:9" ht="18.75" customHeight="1" thickBot="1">
      <c r="A14" s="129"/>
      <c r="B14" s="12" t="s">
        <v>64</v>
      </c>
      <c r="C14" s="123"/>
      <c r="D14" s="103">
        <v>0</v>
      </c>
      <c r="E14" s="102" t="s">
        <v>57</v>
      </c>
      <c r="F14" s="103">
        <v>2047116</v>
      </c>
      <c r="G14" s="1">
        <f>SUM(D10:D14)</f>
        <v>0</v>
      </c>
    </row>
    <row r="15" spans="1:9" ht="21" customHeight="1" thickBot="1">
      <c r="A15" s="147" t="s">
        <v>3</v>
      </c>
      <c r="B15" s="148"/>
      <c r="C15" s="65"/>
      <c r="D15" s="11">
        <f>SUM(D8:D14)</f>
        <v>-36823411</v>
      </c>
      <c r="E15" s="60"/>
      <c r="F15" s="10">
        <f>SUM(F8:F14)</f>
        <v>11290746</v>
      </c>
      <c r="G15" s="1">
        <f>SUM(D15:F15)</f>
        <v>-25532665</v>
      </c>
      <c r="I15" s="4"/>
    </row>
    <row r="16" spans="1:9" ht="19.5" customHeight="1" thickBot="1">
      <c r="A16" s="149" t="s">
        <v>2</v>
      </c>
      <c r="B16" s="150"/>
      <c r="C16" s="66"/>
      <c r="D16" s="57"/>
      <c r="E16" s="61"/>
      <c r="F16" s="57"/>
      <c r="G16" s="1"/>
      <c r="I16" s="4"/>
    </row>
    <row r="17" spans="1:9" ht="19.5" customHeight="1" thickBot="1">
      <c r="A17" s="151" t="s">
        <v>41</v>
      </c>
      <c r="B17" s="151"/>
      <c r="C17" s="67"/>
      <c r="D17" s="64">
        <f>SUM(D10:D13)</f>
        <v>0</v>
      </c>
      <c r="E17" s="62"/>
      <c r="F17" s="58">
        <f>SUM(F10:F11,F14)</f>
        <v>3197116</v>
      </c>
      <c r="G17" s="1"/>
      <c r="I17" s="4"/>
    </row>
    <row r="18" spans="1:9" ht="21.75" customHeight="1" thickBot="1">
      <c r="A18" s="152" t="s">
        <v>42</v>
      </c>
      <c r="B18" s="153"/>
      <c r="C18" s="68"/>
      <c r="D18" s="59">
        <f>SUM(D8:D9)</f>
        <v>-36823411</v>
      </c>
      <c r="E18" s="63"/>
      <c r="F18" s="59">
        <f>SUM(F9,F12:F13)</f>
        <v>8093630</v>
      </c>
      <c r="G18" s="1"/>
      <c r="H18" s="1"/>
    </row>
    <row r="19" spans="1:9" ht="15">
      <c r="B19" s="3"/>
      <c r="C19" s="8"/>
      <c r="D19" s="7">
        <f>SUM(D17:D18)</f>
        <v>-36823411</v>
      </c>
      <c r="E19" s="7"/>
      <c r="F19" s="7">
        <f>SUM(F17:F18)</f>
        <v>11290746</v>
      </c>
      <c r="G19" s="1">
        <f>D19+F19</f>
        <v>-25532665</v>
      </c>
      <c r="H19" s="1"/>
    </row>
    <row r="20" spans="1:9" ht="15">
      <c r="B20" s="2"/>
      <c r="C20" s="2"/>
      <c r="D20" s="7">
        <f>D15-D19</f>
        <v>0</v>
      </c>
      <c r="E20" s="7"/>
      <c r="F20" s="7">
        <f t="shared" ref="F20" si="0">F15-F19</f>
        <v>0</v>
      </c>
      <c r="H20" s="1"/>
    </row>
    <row r="21" spans="1:9" ht="15">
      <c r="C21" s="1"/>
      <c r="D21" s="7"/>
      <c r="E21" s="7"/>
      <c r="F21" s="7"/>
      <c r="G21" s="1"/>
    </row>
    <row r="22" spans="1:9">
      <c r="C22" s="6"/>
      <c r="D22" s="1"/>
      <c r="E22" s="1"/>
    </row>
    <row r="23" spans="1:9">
      <c r="C23" s="5"/>
      <c r="D23" s="5"/>
      <c r="E23" s="1"/>
    </row>
    <row r="24" spans="1:9" ht="198" customHeight="1">
      <c r="A24" s="154"/>
      <c r="B24" s="154"/>
      <c r="C24" s="154"/>
      <c r="D24" s="154"/>
      <c r="E24" s="154"/>
      <c r="F24" s="154"/>
    </row>
    <row r="25" spans="1:9">
      <c r="E25" s="1"/>
    </row>
    <row r="26" spans="1:9">
      <c r="C26" s="5"/>
    </row>
  </sheetData>
  <mergeCells count="18">
    <mergeCell ref="A15:B15"/>
    <mergeCell ref="A16:B16"/>
    <mergeCell ref="A17:B17"/>
    <mergeCell ref="A18:B18"/>
    <mergeCell ref="A24:F24"/>
    <mergeCell ref="A1:F1"/>
    <mergeCell ref="A3:F3"/>
    <mergeCell ref="A4:F4"/>
    <mergeCell ref="A5:F5"/>
    <mergeCell ref="A6:A7"/>
    <mergeCell ref="B6:B7"/>
    <mergeCell ref="C6:D6"/>
    <mergeCell ref="E6:F6"/>
    <mergeCell ref="A8:A9"/>
    <mergeCell ref="B10:B11"/>
    <mergeCell ref="A10:A11"/>
    <mergeCell ref="B12:B13"/>
    <mergeCell ref="A12:A14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DF3A-5F7E-477F-A642-7F6D957C52EE}">
  <dimension ref="A1:I127"/>
  <sheetViews>
    <sheetView view="pageBreakPreview" zoomScaleSheetLayoutView="100" workbookViewId="0">
      <selection sqref="A1:F1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5" bestFit="1" customWidth="1"/>
  </cols>
  <sheetData>
    <row r="1" spans="1:7" ht="74.25" customHeight="1">
      <c r="A1" s="134" t="s">
        <v>52</v>
      </c>
      <c r="B1" s="134"/>
      <c r="C1" s="134"/>
      <c r="D1" s="134"/>
      <c r="E1" s="134"/>
      <c r="F1" s="134"/>
    </row>
    <row r="2" spans="1:7" ht="10.5" customHeight="1">
      <c r="A2" s="9"/>
      <c r="B2" s="9"/>
      <c r="C2" s="69"/>
      <c r="D2" s="69"/>
      <c r="E2" s="69"/>
      <c r="F2" s="69"/>
    </row>
    <row r="3" spans="1:7" ht="22.5" customHeight="1">
      <c r="A3" s="135" t="s">
        <v>9</v>
      </c>
      <c r="B3" s="135"/>
      <c r="C3" s="135"/>
      <c r="D3" s="135"/>
      <c r="E3" s="135"/>
      <c r="F3" s="135"/>
    </row>
    <row r="4" spans="1:7" ht="6.75" customHeight="1" thickBot="1">
      <c r="A4" s="136"/>
      <c r="B4" s="136"/>
      <c r="C4" s="136"/>
      <c r="D4" s="136"/>
      <c r="E4" s="136"/>
      <c r="F4" s="136"/>
    </row>
    <row r="5" spans="1:7" ht="24.75" customHeight="1" thickBot="1">
      <c r="A5" s="137" t="s">
        <v>8</v>
      </c>
      <c r="B5" s="138"/>
      <c r="C5" s="138"/>
      <c r="D5" s="138"/>
      <c r="E5" s="138"/>
      <c r="F5" s="139"/>
    </row>
    <row r="6" spans="1:7" ht="19.5" customHeight="1" thickBot="1">
      <c r="A6" s="140" t="s">
        <v>0</v>
      </c>
      <c r="B6" s="142" t="s">
        <v>1</v>
      </c>
      <c r="C6" s="144" t="s">
        <v>7</v>
      </c>
      <c r="D6" s="144"/>
      <c r="E6" s="145" t="s">
        <v>6</v>
      </c>
      <c r="F6" s="146"/>
    </row>
    <row r="7" spans="1:7" ht="18.75" customHeight="1" thickBot="1">
      <c r="A7" s="141"/>
      <c r="B7" s="143"/>
      <c r="C7" s="54" t="s">
        <v>5</v>
      </c>
      <c r="D7" s="56" t="s">
        <v>4</v>
      </c>
      <c r="E7" s="56" t="s">
        <v>5</v>
      </c>
      <c r="F7" s="55" t="s">
        <v>4</v>
      </c>
    </row>
    <row r="8" spans="1:7" ht="15.75" customHeight="1">
      <c r="A8" s="130" t="s">
        <v>62</v>
      </c>
      <c r="B8" s="130" t="s">
        <v>63</v>
      </c>
      <c r="C8" s="89">
        <v>4210</v>
      </c>
      <c r="D8" s="75">
        <v>-5000</v>
      </c>
      <c r="E8" s="104">
        <v>2310</v>
      </c>
      <c r="F8" s="75">
        <v>235000</v>
      </c>
    </row>
    <row r="9" spans="1:7" ht="15.75" customHeight="1">
      <c r="A9" s="132"/>
      <c r="B9" s="132"/>
      <c r="C9" s="107"/>
      <c r="D9" s="78">
        <v>0</v>
      </c>
      <c r="E9" s="77">
        <v>6060</v>
      </c>
      <c r="F9" s="78">
        <v>5000</v>
      </c>
    </row>
    <row r="10" spans="1:7" ht="15.75" customHeight="1" thickBot="1">
      <c r="A10" s="131"/>
      <c r="B10" s="131"/>
      <c r="C10" s="115"/>
      <c r="D10" s="94">
        <v>0</v>
      </c>
      <c r="E10" s="98">
        <v>6610</v>
      </c>
      <c r="F10" s="94">
        <v>6695517</v>
      </c>
      <c r="G10" s="1">
        <f>SUM(F8:F10)</f>
        <v>6935517</v>
      </c>
    </row>
    <row r="11" spans="1:7" ht="15.75" customHeight="1">
      <c r="A11" s="113"/>
      <c r="B11" s="132" t="s">
        <v>59</v>
      </c>
      <c r="C11" s="116"/>
      <c r="D11" s="83">
        <v>0</v>
      </c>
      <c r="E11" s="82">
        <v>6050</v>
      </c>
      <c r="F11" s="83">
        <v>105200</v>
      </c>
    </row>
    <row r="12" spans="1:7" ht="15.75" customHeight="1" thickBot="1">
      <c r="A12" s="113"/>
      <c r="B12" s="131"/>
      <c r="C12" s="115"/>
      <c r="D12" s="94">
        <v>0</v>
      </c>
      <c r="E12" s="98">
        <v>6057</v>
      </c>
      <c r="F12" s="94">
        <v>32180</v>
      </c>
      <c r="G12" s="1">
        <f>SUM(F11:F12)</f>
        <v>137380</v>
      </c>
    </row>
    <row r="13" spans="1:7" ht="15.75" customHeight="1">
      <c r="A13" s="132" t="s">
        <v>49</v>
      </c>
      <c r="B13" s="130" t="s">
        <v>56</v>
      </c>
      <c r="C13" s="106">
        <v>6050</v>
      </c>
      <c r="D13" s="76">
        <v>-33379906</v>
      </c>
      <c r="E13" s="95">
        <v>6050</v>
      </c>
      <c r="F13" s="76">
        <f>2000000+29609680</f>
        <v>31609680</v>
      </c>
    </row>
    <row r="14" spans="1:7" ht="15.75" customHeight="1">
      <c r="A14" s="132"/>
      <c r="B14" s="132"/>
      <c r="C14" s="107">
        <v>6057</v>
      </c>
      <c r="D14" s="78">
        <v>-1084144</v>
      </c>
      <c r="E14" s="77">
        <v>6057</v>
      </c>
      <c r="F14" s="78">
        <v>5480962</v>
      </c>
    </row>
    <row r="15" spans="1:7" ht="15.75" customHeight="1">
      <c r="A15" s="132"/>
      <c r="B15" s="132"/>
      <c r="C15" s="106">
        <v>6059</v>
      </c>
      <c r="D15" s="76">
        <v>-191320</v>
      </c>
      <c r="E15" s="95">
        <v>6059</v>
      </c>
      <c r="F15" s="76">
        <v>967229</v>
      </c>
    </row>
    <row r="16" spans="1:7" ht="15.75" customHeight="1">
      <c r="A16" s="113"/>
      <c r="B16" s="132"/>
      <c r="C16" s="107"/>
      <c r="D16" s="78">
        <v>0</v>
      </c>
      <c r="E16" s="77">
        <v>6060</v>
      </c>
      <c r="F16" s="78">
        <v>5288783</v>
      </c>
    </row>
    <row r="17" spans="1:8" ht="15.75" customHeight="1">
      <c r="A17" s="113"/>
      <c r="B17" s="132"/>
      <c r="C17" s="106"/>
      <c r="D17" s="76">
        <v>0</v>
      </c>
      <c r="E17" s="95">
        <v>6067</v>
      </c>
      <c r="F17" s="76">
        <v>1249106</v>
      </c>
      <c r="G17" s="1">
        <f>SUM(F13:F18)</f>
        <v>44816190</v>
      </c>
    </row>
    <row r="18" spans="1:8" ht="15.75" customHeight="1">
      <c r="A18" s="113"/>
      <c r="B18" s="132"/>
      <c r="C18" s="107"/>
      <c r="D18" s="78">
        <v>0</v>
      </c>
      <c r="E18" s="77">
        <v>6069</v>
      </c>
      <c r="F18" s="78">
        <v>220430</v>
      </c>
      <c r="G18" s="1">
        <f>SUM(F13:F19)</f>
        <v>46001190</v>
      </c>
    </row>
    <row r="19" spans="1:8" ht="15.75" customHeight="1" thickBot="1">
      <c r="A19" s="113"/>
      <c r="B19" s="131"/>
      <c r="C19" s="107"/>
      <c r="D19" s="78">
        <v>0</v>
      </c>
      <c r="E19" s="98">
        <v>6610</v>
      </c>
      <c r="F19" s="94">
        <v>1185000</v>
      </c>
    </row>
    <row r="20" spans="1:8" ht="15.75" customHeight="1" thickBot="1">
      <c r="A20" s="113"/>
      <c r="B20" s="12" t="s">
        <v>66</v>
      </c>
      <c r="C20" s="108"/>
      <c r="D20" s="72">
        <v>0</v>
      </c>
      <c r="E20" s="114">
        <v>6300</v>
      </c>
      <c r="F20" s="72">
        <v>161250</v>
      </c>
    </row>
    <row r="21" spans="1:8" ht="15.75" customHeight="1" thickBot="1">
      <c r="A21" s="113"/>
      <c r="B21" s="12" t="s">
        <v>77</v>
      </c>
      <c r="C21" s="108"/>
      <c r="D21" s="72">
        <v>0</v>
      </c>
      <c r="E21" s="114">
        <v>6300</v>
      </c>
      <c r="F21" s="72">
        <v>350000</v>
      </c>
    </row>
    <row r="22" spans="1:8" ht="15.75" customHeight="1" thickBot="1">
      <c r="A22" s="12" t="s">
        <v>65</v>
      </c>
      <c r="B22" s="111">
        <v>70005</v>
      </c>
      <c r="C22" s="104"/>
      <c r="D22" s="75">
        <v>0</v>
      </c>
      <c r="E22" s="74">
        <v>6259</v>
      </c>
      <c r="F22" s="75">
        <v>16835</v>
      </c>
      <c r="G22" s="1"/>
    </row>
    <row r="23" spans="1:8" ht="15.75" customHeight="1" thickBot="1">
      <c r="A23" s="12" t="s">
        <v>68</v>
      </c>
      <c r="B23" s="70">
        <v>73095</v>
      </c>
      <c r="C23" s="114">
        <v>4300</v>
      </c>
      <c r="D23" s="72">
        <v>-177000</v>
      </c>
      <c r="E23" s="71">
        <v>2270</v>
      </c>
      <c r="F23" s="72">
        <v>177000</v>
      </c>
      <c r="G23" s="1"/>
    </row>
    <row r="24" spans="1:8" ht="15.75" customHeight="1">
      <c r="A24" s="130" t="s">
        <v>48</v>
      </c>
      <c r="B24" s="128">
        <v>75018</v>
      </c>
      <c r="C24" s="104"/>
      <c r="D24" s="75">
        <v>0</v>
      </c>
      <c r="E24" s="74">
        <v>4308</v>
      </c>
      <c r="F24" s="75">
        <v>1959502</v>
      </c>
      <c r="G24" s="1"/>
    </row>
    <row r="25" spans="1:8" ht="15.75" customHeight="1">
      <c r="A25" s="132"/>
      <c r="B25" s="133"/>
      <c r="C25" s="91"/>
      <c r="D25" s="92">
        <v>0</v>
      </c>
      <c r="E25" s="105">
        <v>4309</v>
      </c>
      <c r="F25" s="92">
        <v>346877</v>
      </c>
      <c r="G25" s="1"/>
    </row>
    <row r="26" spans="1:8" ht="16.5" customHeight="1">
      <c r="A26" s="132"/>
      <c r="B26" s="133"/>
      <c r="C26" s="77"/>
      <c r="D26" s="78">
        <v>0</v>
      </c>
      <c r="E26" s="79">
        <v>4398</v>
      </c>
      <c r="F26" s="78">
        <v>87614</v>
      </c>
      <c r="G26" s="1">
        <f>SUM(F8:F26)</f>
        <v>56173165</v>
      </c>
    </row>
    <row r="27" spans="1:8" ht="15.75" customHeight="1" thickBot="1">
      <c r="A27" s="132"/>
      <c r="B27" s="129"/>
      <c r="C27" s="87"/>
      <c r="D27" s="88">
        <v>0</v>
      </c>
      <c r="E27" s="90">
        <v>4399</v>
      </c>
      <c r="F27" s="88">
        <v>15461</v>
      </c>
      <c r="G27" s="1">
        <f>SUM(F26:F27)</f>
        <v>103075</v>
      </c>
      <c r="H27" s="1">
        <f>SUM(F24:F27)</f>
        <v>2409454</v>
      </c>
    </row>
    <row r="28" spans="1:8" ht="15.75" customHeight="1">
      <c r="A28" s="132"/>
      <c r="B28" s="128">
        <v>75095</v>
      </c>
      <c r="C28" s="95"/>
      <c r="D28" s="76">
        <v>0</v>
      </c>
      <c r="E28" s="81">
        <v>4018</v>
      </c>
      <c r="F28" s="76">
        <f>63200+695215</f>
        <v>758415</v>
      </c>
      <c r="G28" s="1"/>
    </row>
    <row r="29" spans="1:8" ht="15.75" customHeight="1">
      <c r="A29" s="132"/>
      <c r="B29" s="133"/>
      <c r="C29" s="77"/>
      <c r="D29" s="78">
        <v>0</v>
      </c>
      <c r="E29" s="79">
        <v>4019</v>
      </c>
      <c r="F29" s="78">
        <f>15800+122685</f>
        <v>138485</v>
      </c>
      <c r="G29" s="1"/>
    </row>
    <row r="30" spans="1:8" ht="15.75" customHeight="1">
      <c r="A30" s="132"/>
      <c r="B30" s="133"/>
      <c r="C30" s="95"/>
      <c r="D30" s="76">
        <v>0</v>
      </c>
      <c r="E30" s="81">
        <v>4118</v>
      </c>
      <c r="F30" s="76">
        <f>10864+120700</f>
        <v>131564</v>
      </c>
      <c r="G30" s="1"/>
    </row>
    <row r="31" spans="1:8" ht="15.75" customHeight="1">
      <c r="A31" s="132"/>
      <c r="B31" s="133"/>
      <c r="C31" s="77"/>
      <c r="D31" s="78">
        <v>0</v>
      </c>
      <c r="E31" s="79">
        <v>4119</v>
      </c>
      <c r="F31" s="78">
        <f>2716+21300</f>
        <v>24016</v>
      </c>
      <c r="G31" s="1"/>
    </row>
    <row r="32" spans="1:8" ht="15.75" customHeight="1">
      <c r="A32" s="132"/>
      <c r="B32" s="133"/>
      <c r="C32" s="95"/>
      <c r="D32" s="76">
        <v>0</v>
      </c>
      <c r="E32" s="81">
        <v>4128</v>
      </c>
      <c r="F32" s="76">
        <f>1549+18445</f>
        <v>19994</v>
      </c>
      <c r="G32" s="1"/>
    </row>
    <row r="33" spans="1:9" ht="15.75" customHeight="1">
      <c r="A33" s="132"/>
      <c r="B33" s="133"/>
      <c r="C33" s="77"/>
      <c r="D33" s="78">
        <v>0</v>
      </c>
      <c r="E33" s="79">
        <v>4129</v>
      </c>
      <c r="F33" s="78">
        <f>387+3255</f>
        <v>3642</v>
      </c>
      <c r="G33" s="1"/>
    </row>
    <row r="34" spans="1:9" ht="15.75" customHeight="1">
      <c r="A34" s="132"/>
      <c r="B34" s="133"/>
      <c r="C34" s="95"/>
      <c r="D34" s="76">
        <v>0</v>
      </c>
      <c r="E34" s="81">
        <v>4718</v>
      </c>
      <c r="F34" s="76">
        <v>404</v>
      </c>
      <c r="G34" s="1"/>
    </row>
    <row r="35" spans="1:9" ht="15.75" customHeight="1">
      <c r="A35" s="132"/>
      <c r="B35" s="133"/>
      <c r="C35" s="77"/>
      <c r="D35" s="78">
        <v>0</v>
      </c>
      <c r="E35" s="79">
        <v>4719</v>
      </c>
      <c r="F35" s="78">
        <v>101</v>
      </c>
      <c r="G35" s="1"/>
      <c r="I35">
        <v>0</v>
      </c>
    </row>
    <row r="36" spans="1:9" ht="15.75" customHeight="1">
      <c r="A36" s="132"/>
      <c r="B36" s="133"/>
      <c r="C36" s="95"/>
      <c r="D36" s="76">
        <v>0</v>
      </c>
      <c r="E36" s="81">
        <v>4178</v>
      </c>
      <c r="F36" s="76">
        <v>3855</v>
      </c>
      <c r="G36" s="1"/>
      <c r="I36">
        <v>0</v>
      </c>
    </row>
    <row r="37" spans="1:9" ht="15.75" customHeight="1">
      <c r="A37" s="132"/>
      <c r="B37" s="133"/>
      <c r="C37" s="77"/>
      <c r="D37" s="78">
        <v>0</v>
      </c>
      <c r="E37" s="79">
        <v>4179</v>
      </c>
      <c r="F37" s="78">
        <v>964</v>
      </c>
      <c r="G37" s="1"/>
    </row>
    <row r="38" spans="1:9" ht="15.75" customHeight="1">
      <c r="A38" s="132"/>
      <c r="B38" s="133"/>
      <c r="C38" s="82"/>
      <c r="D38" s="83">
        <v>0</v>
      </c>
      <c r="E38" s="84">
        <v>4218</v>
      </c>
      <c r="F38" s="83">
        <f>100000+1132+37400</f>
        <v>138532</v>
      </c>
      <c r="G38" s="1"/>
    </row>
    <row r="39" spans="1:9" ht="15.75" customHeight="1">
      <c r="A39" s="132"/>
      <c r="B39" s="133"/>
      <c r="C39" s="82"/>
      <c r="D39" s="83">
        <v>0</v>
      </c>
      <c r="E39" s="84">
        <v>4219</v>
      </c>
      <c r="F39" s="83">
        <f>283+6600</f>
        <v>6883</v>
      </c>
      <c r="G39" s="1"/>
    </row>
    <row r="40" spans="1:9" ht="15.75" customHeight="1">
      <c r="A40" s="132"/>
      <c r="B40" s="133"/>
      <c r="C40" s="82"/>
      <c r="D40" s="83">
        <v>0</v>
      </c>
      <c r="E40" s="84">
        <v>4228</v>
      </c>
      <c r="F40" s="83">
        <v>12750</v>
      </c>
      <c r="G40" s="1"/>
    </row>
    <row r="41" spans="1:9" ht="15.75" customHeight="1">
      <c r="A41" s="132"/>
      <c r="B41" s="133"/>
      <c r="C41" s="82"/>
      <c r="D41" s="83">
        <v>0</v>
      </c>
      <c r="E41" s="84">
        <v>4229</v>
      </c>
      <c r="F41" s="83">
        <v>2250</v>
      </c>
      <c r="G41" s="1"/>
    </row>
    <row r="42" spans="1:9" ht="15.75" customHeight="1">
      <c r="A42" s="132"/>
      <c r="B42" s="133"/>
      <c r="C42" s="82"/>
      <c r="D42" s="83">
        <v>0</v>
      </c>
      <c r="E42" s="84">
        <v>4268</v>
      </c>
      <c r="F42" s="83">
        <v>15300</v>
      </c>
      <c r="G42" s="1"/>
    </row>
    <row r="43" spans="1:9" ht="15.75" customHeight="1">
      <c r="A43" s="132"/>
      <c r="B43" s="133"/>
      <c r="C43" s="82"/>
      <c r="D43" s="83">
        <v>0</v>
      </c>
      <c r="E43" s="84">
        <v>4269</v>
      </c>
      <c r="F43" s="83">
        <v>2700</v>
      </c>
      <c r="G43" s="1"/>
    </row>
    <row r="44" spans="1:9" ht="15.75" customHeight="1">
      <c r="A44" s="132"/>
      <c r="B44" s="133"/>
      <c r="C44" s="77"/>
      <c r="D44" s="78">
        <v>0</v>
      </c>
      <c r="E44" s="79">
        <v>4308</v>
      </c>
      <c r="F44" s="78">
        <f>220000+84907+30940</f>
        <v>335847</v>
      </c>
      <c r="G44" s="1"/>
    </row>
    <row r="45" spans="1:9" ht="15.75" customHeight="1">
      <c r="A45" s="132"/>
      <c r="B45" s="133"/>
      <c r="C45" s="95"/>
      <c r="D45" s="76">
        <v>0</v>
      </c>
      <c r="E45" s="81">
        <v>4309</v>
      </c>
      <c r="F45" s="76">
        <f>21226+5460</f>
        <v>26686</v>
      </c>
      <c r="G45" s="1"/>
    </row>
    <row r="46" spans="1:9" ht="15.75" customHeight="1" thickBot="1">
      <c r="A46" s="131"/>
      <c r="B46" s="129"/>
      <c r="C46" s="87"/>
      <c r="D46" s="88">
        <v>0</v>
      </c>
      <c r="E46" s="90">
        <v>4368</v>
      </c>
      <c r="F46" s="88">
        <v>1360</v>
      </c>
      <c r="G46" s="1"/>
    </row>
    <row r="47" spans="1:9" ht="15.75" customHeight="1">
      <c r="A47" s="130" t="s">
        <v>48</v>
      </c>
      <c r="B47" s="128">
        <v>75095</v>
      </c>
      <c r="C47" s="104"/>
      <c r="D47" s="75">
        <v>0</v>
      </c>
      <c r="E47" s="74">
        <v>4369</v>
      </c>
      <c r="F47" s="75">
        <v>240</v>
      </c>
      <c r="G47" s="1"/>
    </row>
    <row r="48" spans="1:9" ht="15.75" customHeight="1">
      <c r="A48" s="132"/>
      <c r="B48" s="133"/>
      <c r="C48" s="91"/>
      <c r="D48" s="92">
        <v>0</v>
      </c>
      <c r="E48" s="105">
        <v>4388</v>
      </c>
      <c r="F48" s="92">
        <v>30000</v>
      </c>
      <c r="G48" s="1"/>
    </row>
    <row r="49" spans="1:7" ht="15.75" customHeight="1">
      <c r="A49" s="132"/>
      <c r="B49" s="133"/>
      <c r="C49" s="77"/>
      <c r="D49" s="78">
        <v>0</v>
      </c>
      <c r="E49" s="79">
        <v>4398</v>
      </c>
      <c r="F49" s="78">
        <v>7547</v>
      </c>
      <c r="G49" s="1"/>
    </row>
    <row r="50" spans="1:7" ht="15.75" customHeight="1">
      <c r="A50" s="132"/>
      <c r="B50" s="133"/>
      <c r="C50" s="77"/>
      <c r="D50" s="78">
        <v>0</v>
      </c>
      <c r="E50" s="79">
        <v>4399</v>
      </c>
      <c r="F50" s="78">
        <v>1887</v>
      </c>
      <c r="G50" s="1"/>
    </row>
    <row r="51" spans="1:7" ht="15.75" customHeight="1">
      <c r="A51" s="132"/>
      <c r="B51" s="133"/>
      <c r="C51" s="95"/>
      <c r="D51" s="76">
        <v>0</v>
      </c>
      <c r="E51" s="81">
        <v>4408</v>
      </c>
      <c r="F51" s="76">
        <v>8585</v>
      </c>
      <c r="G51" s="1"/>
    </row>
    <row r="52" spans="1:7" ht="15.75" customHeight="1">
      <c r="A52" s="132"/>
      <c r="B52" s="133"/>
      <c r="C52" s="77"/>
      <c r="D52" s="78">
        <v>0</v>
      </c>
      <c r="E52" s="79">
        <v>4409</v>
      </c>
      <c r="F52" s="78">
        <v>1515</v>
      </c>
      <c r="G52" s="1"/>
    </row>
    <row r="53" spans="1:7" ht="15.75" customHeight="1">
      <c r="A53" s="132"/>
      <c r="B53" s="133"/>
      <c r="C53" s="95"/>
      <c r="D53" s="76">
        <v>0</v>
      </c>
      <c r="E53" s="81">
        <v>4418</v>
      </c>
      <c r="F53" s="76">
        <f>6549+4250</f>
        <v>10799</v>
      </c>
      <c r="G53" s="1">
        <f>SUM(F22:F53)</f>
        <v>4287610</v>
      </c>
    </row>
    <row r="54" spans="1:7" ht="15.75" customHeight="1">
      <c r="A54" s="132"/>
      <c r="B54" s="133"/>
      <c r="C54" s="77"/>
      <c r="D54" s="78">
        <v>0</v>
      </c>
      <c r="E54" s="79">
        <v>4419</v>
      </c>
      <c r="F54" s="78">
        <v>750</v>
      </c>
      <c r="G54" s="1"/>
    </row>
    <row r="55" spans="1:7" ht="15" customHeight="1">
      <c r="A55" s="132"/>
      <c r="B55" s="133"/>
      <c r="C55" s="79"/>
      <c r="D55" s="78">
        <v>0</v>
      </c>
      <c r="E55" s="79">
        <v>4428</v>
      </c>
      <c r="F55" s="78">
        <f>10000+11402</f>
        <v>21402</v>
      </c>
      <c r="G55" s="1"/>
    </row>
    <row r="56" spans="1:7" ht="15" customHeight="1">
      <c r="A56" s="132"/>
      <c r="B56" s="133"/>
      <c r="C56" s="81"/>
      <c r="D56" s="76">
        <v>0</v>
      </c>
      <c r="E56" s="81">
        <v>4429</v>
      </c>
      <c r="F56" s="76">
        <v>2851</v>
      </c>
      <c r="G56" s="1"/>
    </row>
    <row r="57" spans="1:7" ht="15" customHeight="1">
      <c r="A57" s="132"/>
      <c r="B57" s="133"/>
      <c r="C57" s="77"/>
      <c r="D57" s="78">
        <v>0</v>
      </c>
      <c r="E57" s="79">
        <v>4528</v>
      </c>
      <c r="F57" s="78">
        <v>850</v>
      </c>
      <c r="G57" s="1"/>
    </row>
    <row r="58" spans="1:7" ht="15" customHeight="1">
      <c r="A58" s="132"/>
      <c r="B58" s="133"/>
      <c r="C58" s="81"/>
      <c r="D58" s="76">
        <v>0</v>
      </c>
      <c r="E58" s="81">
        <v>4529</v>
      </c>
      <c r="F58" s="76">
        <v>150</v>
      </c>
      <c r="G58" s="1"/>
    </row>
    <row r="59" spans="1:7" ht="15" customHeight="1">
      <c r="A59" s="132"/>
      <c r="B59" s="133"/>
      <c r="C59" s="77"/>
      <c r="D59" s="78">
        <v>0</v>
      </c>
      <c r="E59" s="79">
        <v>4708</v>
      </c>
      <c r="F59" s="78">
        <v>29750</v>
      </c>
      <c r="G59" s="1"/>
    </row>
    <row r="60" spans="1:7" ht="15" customHeight="1">
      <c r="A60" s="132"/>
      <c r="B60" s="133"/>
      <c r="C60" s="81"/>
      <c r="D60" s="76">
        <v>0</v>
      </c>
      <c r="E60" s="81">
        <v>4709</v>
      </c>
      <c r="F60" s="76">
        <v>5250</v>
      </c>
      <c r="G60" s="1"/>
    </row>
    <row r="61" spans="1:7" ht="15" customHeight="1">
      <c r="A61" s="132"/>
      <c r="B61" s="133"/>
      <c r="C61" s="77"/>
      <c r="D61" s="78">
        <v>0</v>
      </c>
      <c r="E61" s="79">
        <v>4718</v>
      </c>
      <c r="F61" s="78">
        <v>1955</v>
      </c>
      <c r="G61" s="1"/>
    </row>
    <row r="62" spans="1:7" ht="15" customHeight="1">
      <c r="A62" s="132"/>
      <c r="B62" s="133"/>
      <c r="C62" s="81"/>
      <c r="D62" s="76">
        <v>0</v>
      </c>
      <c r="E62" s="81">
        <v>4719</v>
      </c>
      <c r="F62" s="76">
        <v>345</v>
      </c>
      <c r="G62" s="1"/>
    </row>
    <row r="63" spans="1:7" ht="18" customHeight="1" thickBot="1">
      <c r="A63" s="131"/>
      <c r="B63" s="129"/>
      <c r="C63" s="87"/>
      <c r="D63" s="88">
        <v>0</v>
      </c>
      <c r="E63" s="90">
        <v>6259</v>
      </c>
      <c r="F63" s="88">
        <f>190831+37795</f>
        <v>228626</v>
      </c>
      <c r="G63" s="1">
        <f>SUM(F28:F63)</f>
        <v>1976250</v>
      </c>
    </row>
    <row r="64" spans="1:7" ht="18" customHeight="1" thickBot="1">
      <c r="A64" s="110" t="s">
        <v>58</v>
      </c>
      <c r="B64" s="112">
        <v>75404</v>
      </c>
      <c r="C64" s="93"/>
      <c r="D64" s="94">
        <v>0</v>
      </c>
      <c r="E64" s="93">
        <v>2300</v>
      </c>
      <c r="F64" s="94">
        <v>200000</v>
      </c>
      <c r="G64" s="1"/>
    </row>
    <row r="65" spans="1:6" ht="19.5" customHeight="1" thickBot="1">
      <c r="A65" s="12" t="s">
        <v>54</v>
      </c>
      <c r="B65" s="70">
        <v>80195</v>
      </c>
      <c r="C65" s="114">
        <v>2009</v>
      </c>
      <c r="D65" s="72">
        <v>-55992</v>
      </c>
      <c r="E65" s="71">
        <v>2009</v>
      </c>
      <c r="F65" s="72">
        <v>139</v>
      </c>
    </row>
    <row r="66" spans="1:6" ht="21.75" customHeight="1" thickBot="1">
      <c r="A66" s="130" t="s">
        <v>55</v>
      </c>
      <c r="B66" s="128">
        <v>85111</v>
      </c>
      <c r="C66" s="71"/>
      <c r="D66" s="72">
        <v>0</v>
      </c>
      <c r="E66" s="71">
        <v>6209</v>
      </c>
      <c r="F66" s="72">
        <v>240040</v>
      </c>
    </row>
    <row r="67" spans="1:6" ht="16.5" customHeight="1" thickBot="1">
      <c r="A67" s="132"/>
      <c r="B67" s="129"/>
      <c r="C67" s="114"/>
      <c r="D67" s="72">
        <v>0</v>
      </c>
      <c r="E67" s="71">
        <v>6220</v>
      </c>
      <c r="F67" s="72">
        <v>55806</v>
      </c>
    </row>
    <row r="68" spans="1:6" ht="16.5" customHeight="1" thickBot="1">
      <c r="A68" s="131"/>
      <c r="B68" s="70">
        <v>85121</v>
      </c>
      <c r="C68" s="71"/>
      <c r="D68" s="72">
        <v>0</v>
      </c>
      <c r="E68" s="71">
        <v>2560</v>
      </c>
      <c r="F68" s="72">
        <v>50000</v>
      </c>
    </row>
    <row r="69" spans="1:6" ht="16.5" customHeight="1">
      <c r="A69" s="130" t="s">
        <v>70</v>
      </c>
      <c r="B69" s="133">
        <v>85295</v>
      </c>
      <c r="C69" s="116">
        <v>2059</v>
      </c>
      <c r="D69" s="83">
        <v>-85699</v>
      </c>
      <c r="E69" s="84">
        <v>2009</v>
      </c>
      <c r="F69" s="83">
        <v>141552</v>
      </c>
    </row>
    <row r="70" spans="1:6" ht="16.5" customHeight="1">
      <c r="A70" s="132"/>
      <c r="B70" s="133"/>
      <c r="C70" s="81"/>
      <c r="D70" s="76">
        <v>0</v>
      </c>
      <c r="E70" s="81">
        <v>4017</v>
      </c>
      <c r="F70" s="76">
        <v>74918</v>
      </c>
    </row>
    <row r="71" spans="1:6" ht="16.5" customHeight="1">
      <c r="A71" s="132"/>
      <c r="B71" s="133"/>
      <c r="C71" s="77"/>
      <c r="D71" s="78">
        <v>0</v>
      </c>
      <c r="E71" s="79">
        <v>4018</v>
      </c>
      <c r="F71" s="78">
        <f>61386+81381</f>
        <v>142767</v>
      </c>
    </row>
    <row r="72" spans="1:6" ht="16.5" customHeight="1">
      <c r="A72" s="132"/>
      <c r="B72" s="133"/>
      <c r="C72" s="77"/>
      <c r="D72" s="78">
        <v>0</v>
      </c>
      <c r="E72" s="79">
        <v>4019</v>
      </c>
      <c r="F72" s="78">
        <f>15346+20345+13973</f>
        <v>49664</v>
      </c>
    </row>
    <row r="73" spans="1:6" ht="16.5" customHeight="1">
      <c r="A73" s="132"/>
      <c r="B73" s="133"/>
      <c r="C73" s="81"/>
      <c r="D73" s="76">
        <v>0</v>
      </c>
      <c r="E73" s="81">
        <v>4117</v>
      </c>
      <c r="F73" s="76">
        <v>12938</v>
      </c>
    </row>
    <row r="74" spans="1:6" ht="16.5" customHeight="1">
      <c r="A74" s="132"/>
      <c r="B74" s="133"/>
      <c r="C74" s="77"/>
      <c r="D74" s="78">
        <v>0</v>
      </c>
      <c r="E74" s="79">
        <v>4118</v>
      </c>
      <c r="F74" s="78">
        <f>10601+14055</f>
        <v>24656</v>
      </c>
    </row>
    <row r="75" spans="1:6" ht="16.5" customHeight="1">
      <c r="A75" s="132"/>
      <c r="B75" s="133"/>
      <c r="C75" s="77"/>
      <c r="D75" s="78">
        <v>0</v>
      </c>
      <c r="E75" s="79">
        <v>4119</v>
      </c>
      <c r="F75" s="78">
        <f>2650+3513+2414</f>
        <v>8577</v>
      </c>
    </row>
    <row r="76" spans="1:6" ht="16.5" customHeight="1">
      <c r="A76" s="132"/>
      <c r="B76" s="133"/>
      <c r="C76" s="81"/>
      <c r="D76" s="76">
        <v>0</v>
      </c>
      <c r="E76" s="81">
        <v>4127</v>
      </c>
      <c r="F76" s="76">
        <v>1841</v>
      </c>
    </row>
    <row r="77" spans="1:6" ht="16.5" customHeight="1">
      <c r="A77" s="132"/>
      <c r="B77" s="133"/>
      <c r="C77" s="77"/>
      <c r="D77" s="78">
        <v>0</v>
      </c>
      <c r="E77" s="79">
        <v>4128</v>
      </c>
      <c r="F77" s="78">
        <f>1504+1994</f>
        <v>3498</v>
      </c>
    </row>
    <row r="78" spans="1:6" ht="16.5" customHeight="1">
      <c r="A78" s="132"/>
      <c r="B78" s="133"/>
      <c r="C78" s="77"/>
      <c r="D78" s="78">
        <v>0</v>
      </c>
      <c r="E78" s="79">
        <v>4129</v>
      </c>
      <c r="F78" s="78">
        <f>376+498+344</f>
        <v>1218</v>
      </c>
    </row>
    <row r="79" spans="1:6" ht="16.5" customHeight="1">
      <c r="A79" s="132"/>
      <c r="B79" s="133"/>
      <c r="C79" s="81"/>
      <c r="D79" s="76">
        <v>0</v>
      </c>
      <c r="E79" s="81">
        <v>4307</v>
      </c>
      <c r="F79" s="76">
        <v>9103</v>
      </c>
    </row>
    <row r="80" spans="1:6" ht="16.5" customHeight="1">
      <c r="A80" s="132"/>
      <c r="B80" s="133"/>
      <c r="C80" s="77"/>
      <c r="D80" s="78">
        <v>0</v>
      </c>
      <c r="E80" s="79">
        <v>4308</v>
      </c>
      <c r="F80" s="78">
        <f>8866+15513</f>
        <v>24379</v>
      </c>
    </row>
    <row r="81" spans="1:8" ht="16.5" customHeight="1">
      <c r="A81" s="132"/>
      <c r="B81" s="133"/>
      <c r="C81" s="77"/>
      <c r="D81" s="78">
        <v>0</v>
      </c>
      <c r="E81" s="79">
        <v>4309</v>
      </c>
      <c r="F81" s="78">
        <f>2217+3879+1700</f>
        <v>7796</v>
      </c>
    </row>
    <row r="82" spans="1:8" ht="16.5" customHeight="1">
      <c r="A82" s="132"/>
      <c r="B82" s="133"/>
      <c r="C82" s="81"/>
      <c r="D82" s="76">
        <v>0</v>
      </c>
      <c r="E82" s="81">
        <v>4428</v>
      </c>
      <c r="F82" s="76">
        <f>9787+13582</f>
        <v>23369</v>
      </c>
    </row>
    <row r="83" spans="1:8" ht="16.5" customHeight="1">
      <c r="A83" s="132"/>
      <c r="B83" s="133"/>
      <c r="C83" s="77"/>
      <c r="D83" s="78">
        <v>0</v>
      </c>
      <c r="E83" s="79">
        <v>4429</v>
      </c>
      <c r="F83" s="78">
        <f>2447+3396</f>
        <v>5843</v>
      </c>
    </row>
    <row r="84" spans="1:8" ht="16.5" customHeight="1">
      <c r="A84" s="132"/>
      <c r="B84" s="133"/>
      <c r="C84" s="81"/>
      <c r="D84" s="76">
        <v>0</v>
      </c>
      <c r="E84" s="81">
        <v>4717</v>
      </c>
      <c r="F84" s="76">
        <v>1090</v>
      </c>
    </row>
    <row r="85" spans="1:8" ht="16.5" customHeight="1">
      <c r="A85" s="132"/>
      <c r="B85" s="133"/>
      <c r="C85" s="77"/>
      <c r="D85" s="78">
        <v>0</v>
      </c>
      <c r="E85" s="79">
        <v>4718</v>
      </c>
      <c r="F85" s="78">
        <f>1535+2034</f>
        <v>3569</v>
      </c>
    </row>
    <row r="86" spans="1:8" ht="16.5" customHeight="1" thickBot="1">
      <c r="A86" s="131"/>
      <c r="B86" s="133"/>
      <c r="C86" s="77"/>
      <c r="D86" s="78">
        <v>0</v>
      </c>
      <c r="E86" s="79">
        <v>4719</v>
      </c>
      <c r="F86" s="78">
        <f>384+509+203</f>
        <v>1096</v>
      </c>
      <c r="G86" s="1">
        <f>SUM(F70:F86)</f>
        <v>396322</v>
      </c>
      <c r="H86" s="1">
        <f>SUM(F69:F86)</f>
        <v>537874</v>
      </c>
    </row>
    <row r="87" spans="1:8" ht="21" customHeight="1" thickBot="1">
      <c r="A87" s="12" t="s">
        <v>53</v>
      </c>
      <c r="B87" s="70">
        <v>85332</v>
      </c>
      <c r="C87" s="114">
        <v>6050</v>
      </c>
      <c r="D87" s="72">
        <v>-100000</v>
      </c>
      <c r="E87" s="71"/>
      <c r="F87" s="72">
        <v>0</v>
      </c>
      <c r="G87" s="1">
        <f>SUM(F87:F87)</f>
        <v>0</v>
      </c>
    </row>
    <row r="88" spans="1:8" ht="16.5" customHeight="1">
      <c r="A88" s="130" t="s">
        <v>67</v>
      </c>
      <c r="B88" s="128">
        <v>90008</v>
      </c>
      <c r="C88" s="74"/>
      <c r="D88" s="75">
        <v>0</v>
      </c>
      <c r="E88" s="74">
        <v>4018</v>
      </c>
      <c r="F88" s="75">
        <v>88665</v>
      </c>
      <c r="G88" s="1">
        <f>11000+6192+71473</f>
        <v>88665</v>
      </c>
    </row>
    <row r="89" spans="1:8" ht="16.5" customHeight="1">
      <c r="A89" s="132"/>
      <c r="B89" s="133"/>
      <c r="C89" s="77"/>
      <c r="D89" s="78">
        <v>0</v>
      </c>
      <c r="E89" s="79">
        <v>4019</v>
      </c>
      <c r="F89" s="78">
        <v>22167</v>
      </c>
      <c r="G89" s="1">
        <f>2750+1548+17869</f>
        <v>22167</v>
      </c>
    </row>
    <row r="90" spans="1:8" ht="16.5" customHeight="1">
      <c r="A90" s="132"/>
      <c r="B90" s="133"/>
      <c r="C90" s="95"/>
      <c r="D90" s="76">
        <v>0</v>
      </c>
      <c r="E90" s="81">
        <v>4118</v>
      </c>
      <c r="F90" s="76">
        <v>15240</v>
      </c>
      <c r="G90" s="1">
        <f>1936+12160+1144</f>
        <v>15240</v>
      </c>
    </row>
    <row r="91" spans="1:8" ht="16.5" customHeight="1">
      <c r="A91" s="132"/>
      <c r="B91" s="133"/>
      <c r="C91" s="77"/>
      <c r="D91" s="78">
        <v>0</v>
      </c>
      <c r="E91" s="79">
        <v>4119</v>
      </c>
      <c r="F91" s="78">
        <v>3810</v>
      </c>
      <c r="G91" s="1">
        <f>484+286+3040</f>
        <v>3810</v>
      </c>
    </row>
    <row r="92" spans="1:8" ht="16.5" customHeight="1">
      <c r="A92" s="132"/>
      <c r="B92" s="133"/>
      <c r="C92" s="82"/>
      <c r="D92" s="83">
        <v>0</v>
      </c>
      <c r="E92" s="84">
        <v>4128</v>
      </c>
      <c r="F92" s="83">
        <v>2140</v>
      </c>
      <c r="G92" s="1">
        <f>264+160+1716</f>
        <v>2140</v>
      </c>
    </row>
    <row r="93" spans="1:8" ht="16.5" customHeight="1">
      <c r="A93" s="132"/>
      <c r="B93" s="133"/>
      <c r="C93" s="81"/>
      <c r="D93" s="76">
        <v>0</v>
      </c>
      <c r="E93" s="81">
        <v>4129</v>
      </c>
      <c r="F93" s="76">
        <v>535</v>
      </c>
      <c r="G93" s="1">
        <f>66+429+40</f>
        <v>535</v>
      </c>
    </row>
    <row r="94" spans="1:8" ht="16.5" customHeight="1">
      <c r="A94" s="132"/>
      <c r="B94" s="133"/>
      <c r="C94" s="77"/>
      <c r="D94" s="78">
        <v>0</v>
      </c>
      <c r="E94" s="79">
        <v>4178</v>
      </c>
      <c r="F94" s="78">
        <v>3774</v>
      </c>
      <c r="G94" s="1"/>
    </row>
    <row r="95" spans="1:8" ht="16.5" customHeight="1">
      <c r="A95" s="132"/>
      <c r="B95" s="133"/>
      <c r="C95" s="82"/>
      <c r="D95" s="83">
        <v>0</v>
      </c>
      <c r="E95" s="84">
        <v>4179</v>
      </c>
      <c r="F95" s="83">
        <v>943</v>
      </c>
      <c r="G95" s="1"/>
    </row>
    <row r="96" spans="1:8" ht="16.5" customHeight="1">
      <c r="A96" s="132"/>
      <c r="B96" s="133"/>
      <c r="C96" s="77"/>
      <c r="D96" s="78">
        <v>0</v>
      </c>
      <c r="E96" s="79">
        <v>4718</v>
      </c>
      <c r="F96" s="78">
        <v>800</v>
      </c>
      <c r="G96" s="1">
        <f>104+696</f>
        <v>800</v>
      </c>
    </row>
    <row r="97" spans="1:7" ht="16.5" customHeight="1">
      <c r="A97" s="132"/>
      <c r="B97" s="133"/>
      <c r="C97" s="81"/>
      <c r="D97" s="76">
        <v>0</v>
      </c>
      <c r="E97" s="81">
        <v>4719</v>
      </c>
      <c r="F97" s="76">
        <v>200</v>
      </c>
      <c r="G97" s="1">
        <f>174+26</f>
        <v>200</v>
      </c>
    </row>
    <row r="98" spans="1:7" ht="16.5" customHeight="1">
      <c r="A98" s="132"/>
      <c r="B98" s="133"/>
      <c r="C98" s="77"/>
      <c r="D98" s="78">
        <v>0</v>
      </c>
      <c r="E98" s="79">
        <v>4218</v>
      </c>
      <c r="F98" s="78">
        <v>18850</v>
      </c>
      <c r="G98" s="1"/>
    </row>
    <row r="99" spans="1:7" ht="16.5" customHeight="1">
      <c r="A99" s="132"/>
      <c r="B99" s="133"/>
      <c r="C99" s="81"/>
      <c r="D99" s="76">
        <v>0</v>
      </c>
      <c r="E99" s="81">
        <v>4219</v>
      </c>
      <c r="F99" s="76">
        <v>4712</v>
      </c>
      <c r="G99" s="1"/>
    </row>
    <row r="100" spans="1:7" ht="16.5" customHeight="1">
      <c r="A100" s="132"/>
      <c r="B100" s="133"/>
      <c r="C100" s="77"/>
      <c r="D100" s="78">
        <v>0</v>
      </c>
      <c r="E100" s="79">
        <v>4308</v>
      </c>
      <c r="F100" s="78">
        <v>24528</v>
      </c>
      <c r="G100" s="1"/>
    </row>
    <row r="101" spans="1:7" ht="16.5" customHeight="1">
      <c r="A101" s="132"/>
      <c r="B101" s="133"/>
      <c r="C101" s="81"/>
      <c r="D101" s="76">
        <v>0</v>
      </c>
      <c r="E101" s="81">
        <v>4309</v>
      </c>
      <c r="F101" s="76">
        <v>6132</v>
      </c>
      <c r="G101" s="1"/>
    </row>
    <row r="102" spans="1:7" ht="16.5" customHeight="1">
      <c r="A102" s="132"/>
      <c r="B102" s="133"/>
      <c r="C102" s="77"/>
      <c r="D102" s="78">
        <v>0</v>
      </c>
      <c r="E102" s="79">
        <v>4388</v>
      </c>
      <c r="F102" s="78">
        <v>1132</v>
      </c>
      <c r="G102" s="1"/>
    </row>
    <row r="103" spans="1:7" ht="16.5" customHeight="1">
      <c r="A103" s="132"/>
      <c r="B103" s="133"/>
      <c r="C103" s="81"/>
      <c r="D103" s="76">
        <v>0</v>
      </c>
      <c r="E103" s="81">
        <v>4389</v>
      </c>
      <c r="F103" s="76">
        <v>283</v>
      </c>
      <c r="G103" s="1"/>
    </row>
    <row r="104" spans="1:7" ht="16.5" customHeight="1">
      <c r="A104" s="132"/>
      <c r="B104" s="133"/>
      <c r="C104" s="77"/>
      <c r="D104" s="78">
        <v>0</v>
      </c>
      <c r="E104" s="79">
        <v>4398</v>
      </c>
      <c r="F104" s="78">
        <v>3774</v>
      </c>
      <c r="G104" s="1"/>
    </row>
    <row r="105" spans="1:7" ht="16.5" customHeight="1">
      <c r="A105" s="132"/>
      <c r="B105" s="133"/>
      <c r="C105" s="77"/>
      <c r="D105" s="78">
        <v>0</v>
      </c>
      <c r="E105" s="79">
        <v>4399</v>
      </c>
      <c r="F105" s="78">
        <v>943</v>
      </c>
      <c r="G105" s="1">
        <f>SUM(F88:F107)</f>
        <v>217662</v>
      </c>
    </row>
    <row r="106" spans="1:7" ht="16.5" customHeight="1">
      <c r="A106" s="132"/>
      <c r="B106" s="133"/>
      <c r="C106" s="81"/>
      <c r="D106" s="76">
        <v>0</v>
      </c>
      <c r="E106" s="81">
        <v>4428</v>
      </c>
      <c r="F106" s="76">
        <v>15227</v>
      </c>
      <c r="G106" s="1"/>
    </row>
    <row r="107" spans="1:7" ht="16.5" customHeight="1" thickBot="1">
      <c r="A107" s="131"/>
      <c r="B107" s="129"/>
      <c r="C107" s="87"/>
      <c r="D107" s="88">
        <v>0</v>
      </c>
      <c r="E107" s="90">
        <v>4429</v>
      </c>
      <c r="F107" s="88">
        <v>3807</v>
      </c>
      <c r="G107" s="1"/>
    </row>
    <row r="108" spans="1:7" ht="16.5" customHeight="1" thickBot="1">
      <c r="A108" s="130" t="s">
        <v>43</v>
      </c>
      <c r="B108" s="111">
        <v>92105</v>
      </c>
      <c r="C108" s="74"/>
      <c r="D108" s="75">
        <v>0</v>
      </c>
      <c r="E108" s="74">
        <v>2360</v>
      </c>
      <c r="F108" s="75">
        <f>250000+200000</f>
        <v>450000</v>
      </c>
      <c r="G108" s="1"/>
    </row>
    <row r="109" spans="1:7" ht="16.5" thickBot="1">
      <c r="A109" s="132"/>
      <c r="B109" s="111">
        <v>92109</v>
      </c>
      <c r="C109" s="85"/>
      <c r="D109" s="86">
        <v>0</v>
      </c>
      <c r="E109" s="96">
        <v>2480</v>
      </c>
      <c r="F109" s="86">
        <v>84000</v>
      </c>
      <c r="G109" s="1"/>
    </row>
    <row r="110" spans="1:7" ht="16.5" customHeight="1" thickBot="1">
      <c r="A110" s="132"/>
      <c r="B110" s="111">
        <v>92114</v>
      </c>
      <c r="C110" s="104"/>
      <c r="D110" s="75">
        <v>0</v>
      </c>
      <c r="E110" s="81">
        <v>6220</v>
      </c>
      <c r="F110" s="76">
        <v>25000</v>
      </c>
      <c r="G110" s="1"/>
    </row>
    <row r="111" spans="1:7" ht="16.5" customHeight="1" thickBot="1">
      <c r="A111" s="132"/>
      <c r="B111" s="70">
        <v>92116</v>
      </c>
      <c r="C111" s="71"/>
      <c r="D111" s="72">
        <v>0</v>
      </c>
      <c r="E111" s="71">
        <v>2800</v>
      </c>
      <c r="F111" s="72">
        <v>32000</v>
      </c>
      <c r="G111" s="1"/>
    </row>
    <row r="112" spans="1:7" ht="16.5" customHeight="1">
      <c r="A112" s="132"/>
      <c r="B112" s="128">
        <v>92118</v>
      </c>
      <c r="C112" s="85"/>
      <c r="D112" s="86">
        <v>0</v>
      </c>
      <c r="E112" s="96">
        <v>2480</v>
      </c>
      <c r="F112" s="86">
        <v>50400</v>
      </c>
      <c r="G112" s="1"/>
    </row>
    <row r="113" spans="1:9" ht="16.5" customHeight="1">
      <c r="A113" s="132"/>
      <c r="B113" s="133"/>
      <c r="C113" s="81"/>
      <c r="D113" s="76"/>
      <c r="E113" s="81">
        <v>2800</v>
      </c>
      <c r="F113" s="76">
        <v>60000</v>
      </c>
      <c r="G113" s="1">
        <f>SUM(F108:F114)</f>
        <v>1591400</v>
      </c>
    </row>
    <row r="114" spans="1:9" ht="16.5" customHeight="1" thickBot="1">
      <c r="A114" s="132"/>
      <c r="B114" s="129"/>
      <c r="C114" s="87"/>
      <c r="D114" s="88">
        <v>0</v>
      </c>
      <c r="E114" s="90">
        <v>6220</v>
      </c>
      <c r="F114" s="88">
        <f>40000+150000+700000</f>
        <v>890000</v>
      </c>
      <c r="G114" s="1">
        <f>SUM(F112:F114)</f>
        <v>1000400</v>
      </c>
    </row>
    <row r="115" spans="1:9" ht="16.5" thickBot="1">
      <c r="A115" s="131"/>
      <c r="B115" s="70">
        <v>92195</v>
      </c>
      <c r="C115" s="71">
        <v>6259</v>
      </c>
      <c r="D115" s="72">
        <v>-37795</v>
      </c>
      <c r="E115" s="71"/>
      <c r="F115" s="72">
        <v>0</v>
      </c>
      <c r="G115" s="1">
        <f>SUM(F115:F115)</f>
        <v>0</v>
      </c>
    </row>
    <row r="116" spans="1:9" ht="21" customHeight="1" thickBot="1">
      <c r="A116" s="147" t="s">
        <v>3</v>
      </c>
      <c r="B116" s="148"/>
      <c r="C116" s="65"/>
      <c r="D116" s="11">
        <f>SUM(D8:D115)</f>
        <v>-35116856</v>
      </c>
      <c r="E116" s="60"/>
      <c r="F116" s="10">
        <f>SUM(F8:F115)</f>
        <v>61057797</v>
      </c>
      <c r="G116" s="1">
        <f>SUM(D116:F116)</f>
        <v>25940941</v>
      </c>
      <c r="I116" s="4"/>
    </row>
    <row r="117" spans="1:9" ht="19.5" customHeight="1" thickBot="1">
      <c r="A117" s="149" t="s">
        <v>2</v>
      </c>
      <c r="B117" s="150"/>
      <c r="C117" s="66"/>
      <c r="D117" s="57"/>
      <c r="E117" s="61"/>
      <c r="F117" s="57"/>
      <c r="G117" s="1"/>
      <c r="I117" s="4"/>
    </row>
    <row r="118" spans="1:9" ht="19.5" customHeight="1" thickBot="1">
      <c r="A118" s="151" t="s">
        <v>10</v>
      </c>
      <c r="B118" s="151"/>
      <c r="C118" s="67"/>
      <c r="D118" s="64">
        <f>SUM(D8,D23,D65,D69)</f>
        <v>-323691</v>
      </c>
      <c r="E118" s="62"/>
      <c r="F118" s="58">
        <f>SUM(F8,F23:F27,F28:F62,F64:F65,F68:F86,F88:F109,F111,F112:F113)</f>
        <v>6251153</v>
      </c>
      <c r="G118" s="1">
        <f>SUM(D118:F118)</f>
        <v>5927462</v>
      </c>
      <c r="I118" s="4"/>
    </row>
    <row r="119" spans="1:9" ht="21.75" customHeight="1" thickBot="1">
      <c r="A119" s="152" t="s">
        <v>11</v>
      </c>
      <c r="B119" s="153"/>
      <c r="C119" s="68"/>
      <c r="D119" s="59">
        <f>SUM(D13:D15,D87,D115)</f>
        <v>-34793165</v>
      </c>
      <c r="E119" s="63"/>
      <c r="F119" s="59">
        <f>SUM(F9,F10:F22,F63,F66:F67,F110,F114)</f>
        <v>54806644</v>
      </c>
      <c r="G119" s="1">
        <f>SUM(D119:F119)</f>
        <v>20013479</v>
      </c>
      <c r="H119" s="1"/>
    </row>
    <row r="120" spans="1:9" ht="15">
      <c r="B120" s="3"/>
      <c r="C120" s="8"/>
      <c r="D120" s="7">
        <f>SUM(D118:D119)</f>
        <v>-35116856</v>
      </c>
      <c r="E120" s="7"/>
      <c r="F120" s="7">
        <f>SUM(F118:F119)</f>
        <v>61057797</v>
      </c>
      <c r="G120" s="1">
        <f>D120+F120</f>
        <v>25940941</v>
      </c>
      <c r="H120" s="1"/>
    </row>
    <row r="121" spans="1:9" ht="15">
      <c r="B121" s="2"/>
      <c r="C121" s="2"/>
      <c r="D121" s="7">
        <f>D116-D120</f>
        <v>0</v>
      </c>
      <c r="E121" s="7"/>
      <c r="F121" s="7">
        <f t="shared" ref="F121" si="0">F116-F120</f>
        <v>0</v>
      </c>
      <c r="H121" s="1"/>
    </row>
    <row r="122" spans="1:9" ht="15">
      <c r="C122" s="1"/>
      <c r="D122" s="7"/>
      <c r="E122" s="7"/>
      <c r="F122" s="7"/>
      <c r="G122" s="1"/>
    </row>
    <row r="123" spans="1:9">
      <c r="C123" s="6"/>
      <c r="D123" s="1"/>
      <c r="E123" s="1"/>
    </row>
    <row r="124" spans="1:9">
      <c r="C124" s="5"/>
      <c r="D124" s="5"/>
      <c r="E124" s="1"/>
    </row>
    <row r="125" spans="1:9" ht="198" customHeight="1">
      <c r="A125" s="154"/>
      <c r="B125" s="154"/>
      <c r="C125" s="154"/>
      <c r="D125" s="154"/>
      <c r="E125" s="154"/>
      <c r="F125" s="154"/>
    </row>
    <row r="126" spans="1:9">
      <c r="E126" s="1"/>
    </row>
    <row r="127" spans="1:9">
      <c r="C127" s="5"/>
    </row>
  </sheetData>
  <mergeCells count="31">
    <mergeCell ref="A125:F125"/>
    <mergeCell ref="A116:B116"/>
    <mergeCell ref="A117:B117"/>
    <mergeCell ref="A118:B118"/>
    <mergeCell ref="A119:B119"/>
    <mergeCell ref="B11:B12"/>
    <mergeCell ref="B8:B10"/>
    <mergeCell ref="A8:A10"/>
    <mergeCell ref="B24:B27"/>
    <mergeCell ref="A1:F1"/>
    <mergeCell ref="A3:F3"/>
    <mergeCell ref="A4:F4"/>
    <mergeCell ref="A5:F5"/>
    <mergeCell ref="A6:A7"/>
    <mergeCell ref="B6:B7"/>
    <mergeCell ref="C6:D6"/>
    <mergeCell ref="E6:F6"/>
    <mergeCell ref="B28:B46"/>
    <mergeCell ref="A24:A46"/>
    <mergeCell ref="A13:A15"/>
    <mergeCell ref="B69:B86"/>
    <mergeCell ref="B13:B19"/>
    <mergeCell ref="A66:A68"/>
    <mergeCell ref="A69:A86"/>
    <mergeCell ref="B47:B63"/>
    <mergeCell ref="A47:A63"/>
    <mergeCell ref="B112:B114"/>
    <mergeCell ref="A108:A115"/>
    <mergeCell ref="B66:B67"/>
    <mergeCell ref="B88:B107"/>
    <mergeCell ref="A88:A107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  <rowBreaks count="1" manualBreakCount="1">
    <brk id="8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70833-5B11-4C58-9292-B6C814FA470E}">
  <sheetPr>
    <tabColor rgb="FF99FF33"/>
    <pageSetUpPr fitToPage="1"/>
  </sheetPr>
  <dimension ref="A1:Q530"/>
  <sheetViews>
    <sheetView tabSelected="1" view="pageBreakPreview" zoomScale="115" zoomScaleNormal="100" zoomScaleSheetLayoutView="115" workbookViewId="0">
      <selection activeCell="B1" sqref="B1:D1"/>
    </sheetView>
  </sheetViews>
  <sheetFormatPr defaultRowHeight="12.75"/>
  <cols>
    <col min="1" max="1" width="5.125" style="14" customWidth="1"/>
    <col min="2" max="2" width="43.5" style="14" customWidth="1"/>
    <col min="3" max="4" width="12.75" style="14" customWidth="1"/>
    <col min="5" max="5" width="7.875" style="14" customWidth="1"/>
    <col min="6" max="256" width="9" style="14"/>
    <col min="257" max="257" width="5.125" style="14" customWidth="1"/>
    <col min="258" max="258" width="39.75" style="14" customWidth="1"/>
    <col min="259" max="260" width="12.75" style="14" customWidth="1"/>
    <col min="261" max="261" width="7.875" style="14" customWidth="1"/>
    <col min="262" max="512" width="9" style="14"/>
    <col min="513" max="513" width="5.125" style="14" customWidth="1"/>
    <col min="514" max="514" width="39.75" style="14" customWidth="1"/>
    <col min="515" max="516" width="12.75" style="14" customWidth="1"/>
    <col min="517" max="517" width="7.875" style="14" customWidth="1"/>
    <col min="518" max="768" width="9" style="14"/>
    <col min="769" max="769" width="5.125" style="14" customWidth="1"/>
    <col min="770" max="770" width="39.75" style="14" customWidth="1"/>
    <col min="771" max="772" width="12.75" style="14" customWidth="1"/>
    <col min="773" max="773" width="7.875" style="14" customWidth="1"/>
    <col min="774" max="1024" width="9" style="14"/>
    <col min="1025" max="1025" width="5.125" style="14" customWidth="1"/>
    <col min="1026" max="1026" width="39.75" style="14" customWidth="1"/>
    <col min="1027" max="1028" width="12.75" style="14" customWidth="1"/>
    <col min="1029" max="1029" width="7.875" style="14" customWidth="1"/>
    <col min="1030" max="1280" width="9" style="14"/>
    <col min="1281" max="1281" width="5.125" style="14" customWidth="1"/>
    <col min="1282" max="1282" width="39.75" style="14" customWidth="1"/>
    <col min="1283" max="1284" width="12.75" style="14" customWidth="1"/>
    <col min="1285" max="1285" width="7.875" style="14" customWidth="1"/>
    <col min="1286" max="1536" width="9" style="14"/>
    <col min="1537" max="1537" width="5.125" style="14" customWidth="1"/>
    <col min="1538" max="1538" width="39.75" style="14" customWidth="1"/>
    <col min="1539" max="1540" width="12.75" style="14" customWidth="1"/>
    <col min="1541" max="1541" width="7.875" style="14" customWidth="1"/>
    <col min="1542" max="1792" width="9" style="14"/>
    <col min="1793" max="1793" width="5.125" style="14" customWidth="1"/>
    <col min="1794" max="1794" width="39.75" style="14" customWidth="1"/>
    <col min="1795" max="1796" width="12.75" style="14" customWidth="1"/>
    <col min="1797" max="1797" width="7.875" style="14" customWidth="1"/>
    <col min="1798" max="2048" width="9" style="14"/>
    <col min="2049" max="2049" width="5.125" style="14" customWidth="1"/>
    <col min="2050" max="2050" width="39.75" style="14" customWidth="1"/>
    <col min="2051" max="2052" width="12.75" style="14" customWidth="1"/>
    <col min="2053" max="2053" width="7.875" style="14" customWidth="1"/>
    <col min="2054" max="2304" width="9" style="14"/>
    <col min="2305" max="2305" width="5.125" style="14" customWidth="1"/>
    <col min="2306" max="2306" width="39.75" style="14" customWidth="1"/>
    <col min="2307" max="2308" width="12.75" style="14" customWidth="1"/>
    <col min="2309" max="2309" width="7.875" style="14" customWidth="1"/>
    <col min="2310" max="2560" width="9" style="14"/>
    <col min="2561" max="2561" width="5.125" style="14" customWidth="1"/>
    <col min="2562" max="2562" width="39.75" style="14" customWidth="1"/>
    <col min="2563" max="2564" width="12.75" style="14" customWidth="1"/>
    <col min="2565" max="2565" width="7.875" style="14" customWidth="1"/>
    <col min="2566" max="2816" width="9" style="14"/>
    <col min="2817" max="2817" width="5.125" style="14" customWidth="1"/>
    <col min="2818" max="2818" width="39.75" style="14" customWidth="1"/>
    <col min="2819" max="2820" width="12.75" style="14" customWidth="1"/>
    <col min="2821" max="2821" width="7.875" style="14" customWidth="1"/>
    <col min="2822" max="3072" width="9" style="14"/>
    <col min="3073" max="3073" width="5.125" style="14" customWidth="1"/>
    <col min="3074" max="3074" width="39.75" style="14" customWidth="1"/>
    <col min="3075" max="3076" width="12.75" style="14" customWidth="1"/>
    <col min="3077" max="3077" width="7.875" style="14" customWidth="1"/>
    <col min="3078" max="3328" width="9" style="14"/>
    <col min="3329" max="3329" width="5.125" style="14" customWidth="1"/>
    <col min="3330" max="3330" width="39.75" style="14" customWidth="1"/>
    <col min="3331" max="3332" width="12.75" style="14" customWidth="1"/>
    <col min="3333" max="3333" width="7.875" style="14" customWidth="1"/>
    <col min="3334" max="3584" width="9" style="14"/>
    <col min="3585" max="3585" width="5.125" style="14" customWidth="1"/>
    <col min="3586" max="3586" width="39.75" style="14" customWidth="1"/>
    <col min="3587" max="3588" width="12.75" style="14" customWidth="1"/>
    <col min="3589" max="3589" width="7.875" style="14" customWidth="1"/>
    <col min="3590" max="3840" width="9" style="14"/>
    <col min="3841" max="3841" width="5.125" style="14" customWidth="1"/>
    <col min="3842" max="3842" width="39.75" style="14" customWidth="1"/>
    <col min="3843" max="3844" width="12.75" style="14" customWidth="1"/>
    <col min="3845" max="3845" width="7.875" style="14" customWidth="1"/>
    <col min="3846" max="4096" width="9" style="14"/>
    <col min="4097" max="4097" width="5.125" style="14" customWidth="1"/>
    <col min="4098" max="4098" width="39.75" style="14" customWidth="1"/>
    <col min="4099" max="4100" width="12.75" style="14" customWidth="1"/>
    <col min="4101" max="4101" width="7.875" style="14" customWidth="1"/>
    <col min="4102" max="4352" width="9" style="14"/>
    <col min="4353" max="4353" width="5.125" style="14" customWidth="1"/>
    <col min="4354" max="4354" width="39.75" style="14" customWidth="1"/>
    <col min="4355" max="4356" width="12.75" style="14" customWidth="1"/>
    <col min="4357" max="4357" width="7.875" style="14" customWidth="1"/>
    <col min="4358" max="4608" width="9" style="14"/>
    <col min="4609" max="4609" width="5.125" style="14" customWidth="1"/>
    <col min="4610" max="4610" width="39.75" style="14" customWidth="1"/>
    <col min="4611" max="4612" width="12.75" style="14" customWidth="1"/>
    <col min="4613" max="4613" width="7.875" style="14" customWidth="1"/>
    <col min="4614" max="4864" width="9" style="14"/>
    <col min="4865" max="4865" width="5.125" style="14" customWidth="1"/>
    <col min="4866" max="4866" width="39.75" style="14" customWidth="1"/>
    <col min="4867" max="4868" width="12.75" style="14" customWidth="1"/>
    <col min="4869" max="4869" width="7.875" style="14" customWidth="1"/>
    <col min="4870" max="5120" width="9" style="14"/>
    <col min="5121" max="5121" width="5.125" style="14" customWidth="1"/>
    <col min="5122" max="5122" width="39.75" style="14" customWidth="1"/>
    <col min="5123" max="5124" width="12.75" style="14" customWidth="1"/>
    <col min="5125" max="5125" width="7.875" style="14" customWidth="1"/>
    <col min="5126" max="5376" width="9" style="14"/>
    <col min="5377" max="5377" width="5.125" style="14" customWidth="1"/>
    <col min="5378" max="5378" width="39.75" style="14" customWidth="1"/>
    <col min="5379" max="5380" width="12.75" style="14" customWidth="1"/>
    <col min="5381" max="5381" width="7.875" style="14" customWidth="1"/>
    <col min="5382" max="5632" width="9" style="14"/>
    <col min="5633" max="5633" width="5.125" style="14" customWidth="1"/>
    <col min="5634" max="5634" width="39.75" style="14" customWidth="1"/>
    <col min="5635" max="5636" width="12.75" style="14" customWidth="1"/>
    <col min="5637" max="5637" width="7.875" style="14" customWidth="1"/>
    <col min="5638" max="5888" width="9" style="14"/>
    <col min="5889" max="5889" width="5.125" style="14" customWidth="1"/>
    <col min="5890" max="5890" width="39.75" style="14" customWidth="1"/>
    <col min="5891" max="5892" width="12.75" style="14" customWidth="1"/>
    <col min="5893" max="5893" width="7.875" style="14" customWidth="1"/>
    <col min="5894" max="6144" width="9" style="14"/>
    <col min="6145" max="6145" width="5.125" style="14" customWidth="1"/>
    <col min="6146" max="6146" width="39.75" style="14" customWidth="1"/>
    <col min="6147" max="6148" width="12.75" style="14" customWidth="1"/>
    <col min="6149" max="6149" width="7.875" style="14" customWidth="1"/>
    <col min="6150" max="6400" width="9" style="14"/>
    <col min="6401" max="6401" width="5.125" style="14" customWidth="1"/>
    <col min="6402" max="6402" width="39.75" style="14" customWidth="1"/>
    <col min="6403" max="6404" width="12.75" style="14" customWidth="1"/>
    <col min="6405" max="6405" width="7.875" style="14" customWidth="1"/>
    <col min="6406" max="6656" width="9" style="14"/>
    <col min="6657" max="6657" width="5.125" style="14" customWidth="1"/>
    <col min="6658" max="6658" width="39.75" style="14" customWidth="1"/>
    <col min="6659" max="6660" width="12.75" style="14" customWidth="1"/>
    <col min="6661" max="6661" width="7.875" style="14" customWidth="1"/>
    <col min="6662" max="6912" width="9" style="14"/>
    <col min="6913" max="6913" width="5.125" style="14" customWidth="1"/>
    <col min="6914" max="6914" width="39.75" style="14" customWidth="1"/>
    <col min="6915" max="6916" width="12.75" style="14" customWidth="1"/>
    <col min="6917" max="6917" width="7.875" style="14" customWidth="1"/>
    <col min="6918" max="7168" width="9" style="14"/>
    <col min="7169" max="7169" width="5.125" style="14" customWidth="1"/>
    <col min="7170" max="7170" width="39.75" style="14" customWidth="1"/>
    <col min="7171" max="7172" width="12.75" style="14" customWidth="1"/>
    <col min="7173" max="7173" width="7.875" style="14" customWidth="1"/>
    <col min="7174" max="7424" width="9" style="14"/>
    <col min="7425" max="7425" width="5.125" style="14" customWidth="1"/>
    <col min="7426" max="7426" width="39.75" style="14" customWidth="1"/>
    <col min="7427" max="7428" width="12.75" style="14" customWidth="1"/>
    <col min="7429" max="7429" width="7.875" style="14" customWidth="1"/>
    <col min="7430" max="7680" width="9" style="14"/>
    <col min="7681" max="7681" width="5.125" style="14" customWidth="1"/>
    <col min="7682" max="7682" width="39.75" style="14" customWidth="1"/>
    <col min="7683" max="7684" width="12.75" style="14" customWidth="1"/>
    <col min="7685" max="7685" width="7.875" style="14" customWidth="1"/>
    <col min="7686" max="7936" width="9" style="14"/>
    <col min="7937" max="7937" width="5.125" style="14" customWidth="1"/>
    <col min="7938" max="7938" width="39.75" style="14" customWidth="1"/>
    <col min="7939" max="7940" width="12.75" style="14" customWidth="1"/>
    <col min="7941" max="7941" width="7.875" style="14" customWidth="1"/>
    <col min="7942" max="8192" width="9" style="14"/>
    <col min="8193" max="8193" width="5.125" style="14" customWidth="1"/>
    <col min="8194" max="8194" width="39.75" style="14" customWidth="1"/>
    <col min="8195" max="8196" width="12.75" style="14" customWidth="1"/>
    <col min="8197" max="8197" width="7.875" style="14" customWidth="1"/>
    <col min="8198" max="8448" width="9" style="14"/>
    <col min="8449" max="8449" width="5.125" style="14" customWidth="1"/>
    <col min="8450" max="8450" width="39.75" style="14" customWidth="1"/>
    <col min="8451" max="8452" width="12.75" style="14" customWidth="1"/>
    <col min="8453" max="8453" width="7.875" style="14" customWidth="1"/>
    <col min="8454" max="8704" width="9" style="14"/>
    <col min="8705" max="8705" width="5.125" style="14" customWidth="1"/>
    <col min="8706" max="8706" width="39.75" style="14" customWidth="1"/>
    <col min="8707" max="8708" width="12.75" style="14" customWidth="1"/>
    <col min="8709" max="8709" width="7.875" style="14" customWidth="1"/>
    <col min="8710" max="8960" width="9" style="14"/>
    <col min="8961" max="8961" width="5.125" style="14" customWidth="1"/>
    <col min="8962" max="8962" width="39.75" style="14" customWidth="1"/>
    <col min="8963" max="8964" width="12.75" style="14" customWidth="1"/>
    <col min="8965" max="8965" width="7.875" style="14" customWidth="1"/>
    <col min="8966" max="9216" width="9" style="14"/>
    <col min="9217" max="9217" width="5.125" style="14" customWidth="1"/>
    <col min="9218" max="9218" width="39.75" style="14" customWidth="1"/>
    <col min="9219" max="9220" width="12.75" style="14" customWidth="1"/>
    <col min="9221" max="9221" width="7.875" style="14" customWidth="1"/>
    <col min="9222" max="9472" width="9" style="14"/>
    <col min="9473" max="9473" width="5.125" style="14" customWidth="1"/>
    <col min="9474" max="9474" width="39.75" style="14" customWidth="1"/>
    <col min="9475" max="9476" width="12.75" style="14" customWidth="1"/>
    <col min="9477" max="9477" width="7.875" style="14" customWidth="1"/>
    <col min="9478" max="9728" width="9" style="14"/>
    <col min="9729" max="9729" width="5.125" style="14" customWidth="1"/>
    <col min="9730" max="9730" width="39.75" style="14" customWidth="1"/>
    <col min="9731" max="9732" width="12.75" style="14" customWidth="1"/>
    <col min="9733" max="9733" width="7.875" style="14" customWidth="1"/>
    <col min="9734" max="9984" width="9" style="14"/>
    <col min="9985" max="9985" width="5.125" style="14" customWidth="1"/>
    <col min="9986" max="9986" width="39.75" style="14" customWidth="1"/>
    <col min="9987" max="9988" width="12.75" style="14" customWidth="1"/>
    <col min="9989" max="9989" width="7.875" style="14" customWidth="1"/>
    <col min="9990" max="10240" width="9" style="14"/>
    <col min="10241" max="10241" width="5.125" style="14" customWidth="1"/>
    <col min="10242" max="10242" width="39.75" style="14" customWidth="1"/>
    <col min="10243" max="10244" width="12.75" style="14" customWidth="1"/>
    <col min="10245" max="10245" width="7.875" style="14" customWidth="1"/>
    <col min="10246" max="10496" width="9" style="14"/>
    <col min="10497" max="10497" width="5.125" style="14" customWidth="1"/>
    <col min="10498" max="10498" width="39.75" style="14" customWidth="1"/>
    <col min="10499" max="10500" width="12.75" style="14" customWidth="1"/>
    <col min="10501" max="10501" width="7.875" style="14" customWidth="1"/>
    <col min="10502" max="10752" width="9" style="14"/>
    <col min="10753" max="10753" width="5.125" style="14" customWidth="1"/>
    <col min="10754" max="10754" width="39.75" style="14" customWidth="1"/>
    <col min="10755" max="10756" width="12.75" style="14" customWidth="1"/>
    <col min="10757" max="10757" width="7.875" style="14" customWidth="1"/>
    <col min="10758" max="11008" width="9" style="14"/>
    <col min="11009" max="11009" width="5.125" style="14" customWidth="1"/>
    <col min="11010" max="11010" width="39.75" style="14" customWidth="1"/>
    <col min="11011" max="11012" width="12.75" style="14" customWidth="1"/>
    <col min="11013" max="11013" width="7.875" style="14" customWidth="1"/>
    <col min="11014" max="11264" width="9" style="14"/>
    <col min="11265" max="11265" width="5.125" style="14" customWidth="1"/>
    <col min="11266" max="11266" width="39.75" style="14" customWidth="1"/>
    <col min="11267" max="11268" width="12.75" style="14" customWidth="1"/>
    <col min="11269" max="11269" width="7.875" style="14" customWidth="1"/>
    <col min="11270" max="11520" width="9" style="14"/>
    <col min="11521" max="11521" width="5.125" style="14" customWidth="1"/>
    <col min="11522" max="11522" width="39.75" style="14" customWidth="1"/>
    <col min="11523" max="11524" width="12.75" style="14" customWidth="1"/>
    <col min="11525" max="11525" width="7.875" style="14" customWidth="1"/>
    <col min="11526" max="11776" width="9" style="14"/>
    <col min="11777" max="11777" width="5.125" style="14" customWidth="1"/>
    <col min="11778" max="11778" width="39.75" style="14" customWidth="1"/>
    <col min="11779" max="11780" width="12.75" style="14" customWidth="1"/>
    <col min="11781" max="11781" width="7.875" style="14" customWidth="1"/>
    <col min="11782" max="12032" width="9" style="14"/>
    <col min="12033" max="12033" width="5.125" style="14" customWidth="1"/>
    <col min="12034" max="12034" width="39.75" style="14" customWidth="1"/>
    <col min="12035" max="12036" width="12.75" style="14" customWidth="1"/>
    <col min="12037" max="12037" width="7.875" style="14" customWidth="1"/>
    <col min="12038" max="12288" width="9" style="14"/>
    <col min="12289" max="12289" width="5.125" style="14" customWidth="1"/>
    <col min="12290" max="12290" width="39.75" style="14" customWidth="1"/>
    <col min="12291" max="12292" width="12.75" style="14" customWidth="1"/>
    <col min="12293" max="12293" width="7.875" style="14" customWidth="1"/>
    <col min="12294" max="12544" width="9" style="14"/>
    <col min="12545" max="12545" width="5.125" style="14" customWidth="1"/>
    <col min="12546" max="12546" width="39.75" style="14" customWidth="1"/>
    <col min="12547" max="12548" width="12.75" style="14" customWidth="1"/>
    <col min="12549" max="12549" width="7.875" style="14" customWidth="1"/>
    <col min="12550" max="12800" width="9" style="14"/>
    <col min="12801" max="12801" width="5.125" style="14" customWidth="1"/>
    <col min="12802" max="12802" width="39.75" style="14" customWidth="1"/>
    <col min="12803" max="12804" width="12.75" style="14" customWidth="1"/>
    <col min="12805" max="12805" width="7.875" style="14" customWidth="1"/>
    <col min="12806" max="13056" width="9" style="14"/>
    <col min="13057" max="13057" width="5.125" style="14" customWidth="1"/>
    <col min="13058" max="13058" width="39.75" style="14" customWidth="1"/>
    <col min="13059" max="13060" width="12.75" style="14" customWidth="1"/>
    <col min="13061" max="13061" width="7.875" style="14" customWidth="1"/>
    <col min="13062" max="13312" width="9" style="14"/>
    <col min="13313" max="13313" width="5.125" style="14" customWidth="1"/>
    <col min="13314" max="13314" width="39.75" style="14" customWidth="1"/>
    <col min="13315" max="13316" width="12.75" style="14" customWidth="1"/>
    <col min="13317" max="13317" width="7.875" style="14" customWidth="1"/>
    <col min="13318" max="13568" width="9" style="14"/>
    <col min="13569" max="13569" width="5.125" style="14" customWidth="1"/>
    <col min="13570" max="13570" width="39.75" style="14" customWidth="1"/>
    <col min="13571" max="13572" width="12.75" style="14" customWidth="1"/>
    <col min="13573" max="13573" width="7.875" style="14" customWidth="1"/>
    <col min="13574" max="13824" width="9" style="14"/>
    <col min="13825" max="13825" width="5.125" style="14" customWidth="1"/>
    <col min="13826" max="13826" width="39.75" style="14" customWidth="1"/>
    <col min="13827" max="13828" width="12.75" style="14" customWidth="1"/>
    <col min="13829" max="13829" width="7.875" style="14" customWidth="1"/>
    <col min="13830" max="14080" width="9" style="14"/>
    <col min="14081" max="14081" width="5.125" style="14" customWidth="1"/>
    <col min="14082" max="14082" width="39.75" style="14" customWidth="1"/>
    <col min="14083" max="14084" width="12.75" style="14" customWidth="1"/>
    <col min="14085" max="14085" width="7.875" style="14" customWidth="1"/>
    <col min="14086" max="14336" width="9" style="14"/>
    <col min="14337" max="14337" width="5.125" style="14" customWidth="1"/>
    <col min="14338" max="14338" width="39.75" style="14" customWidth="1"/>
    <col min="14339" max="14340" width="12.75" style="14" customWidth="1"/>
    <col min="14341" max="14341" width="7.875" style="14" customWidth="1"/>
    <col min="14342" max="14592" width="9" style="14"/>
    <col min="14593" max="14593" width="5.125" style="14" customWidth="1"/>
    <col min="14594" max="14594" width="39.75" style="14" customWidth="1"/>
    <col min="14595" max="14596" width="12.75" style="14" customWidth="1"/>
    <col min="14597" max="14597" width="7.875" style="14" customWidth="1"/>
    <col min="14598" max="14848" width="9" style="14"/>
    <col min="14849" max="14849" width="5.125" style="14" customWidth="1"/>
    <col min="14850" max="14850" width="39.75" style="14" customWidth="1"/>
    <col min="14851" max="14852" width="12.75" style="14" customWidth="1"/>
    <col min="14853" max="14853" width="7.875" style="14" customWidth="1"/>
    <col min="14854" max="15104" width="9" style="14"/>
    <col min="15105" max="15105" width="5.125" style="14" customWidth="1"/>
    <col min="15106" max="15106" width="39.75" style="14" customWidth="1"/>
    <col min="15107" max="15108" width="12.75" style="14" customWidth="1"/>
    <col min="15109" max="15109" width="7.875" style="14" customWidth="1"/>
    <col min="15110" max="15360" width="9" style="14"/>
    <col min="15361" max="15361" width="5.125" style="14" customWidth="1"/>
    <col min="15362" max="15362" width="39.75" style="14" customWidth="1"/>
    <col min="15363" max="15364" width="12.75" style="14" customWidth="1"/>
    <col min="15365" max="15365" width="7.875" style="14" customWidth="1"/>
    <col min="15366" max="15616" width="9" style="14"/>
    <col min="15617" max="15617" width="5.125" style="14" customWidth="1"/>
    <col min="15618" max="15618" width="39.75" style="14" customWidth="1"/>
    <col min="15619" max="15620" width="12.75" style="14" customWidth="1"/>
    <col min="15621" max="15621" width="7.875" style="14" customWidth="1"/>
    <col min="15622" max="15872" width="9" style="14"/>
    <col min="15873" max="15873" width="5.125" style="14" customWidth="1"/>
    <col min="15874" max="15874" width="39.75" style="14" customWidth="1"/>
    <col min="15875" max="15876" width="12.75" style="14" customWidth="1"/>
    <col min="15877" max="15877" width="7.875" style="14" customWidth="1"/>
    <col min="15878" max="16128" width="9" style="14"/>
    <col min="16129" max="16129" width="5.125" style="14" customWidth="1"/>
    <col min="16130" max="16130" width="39.75" style="14" customWidth="1"/>
    <col min="16131" max="16132" width="12.75" style="14" customWidth="1"/>
    <col min="16133" max="16133" width="7.875" style="14" customWidth="1"/>
    <col min="16134" max="16384" width="9" style="14"/>
  </cols>
  <sheetData>
    <row r="1" spans="1:5" ht="76.5" customHeight="1">
      <c r="A1" s="13"/>
      <c r="B1" s="159" t="s">
        <v>78</v>
      </c>
      <c r="C1" s="159"/>
      <c r="D1" s="159"/>
    </row>
    <row r="2" spans="1:5" ht="63" customHeight="1" thickBot="1">
      <c r="A2" s="160" t="s">
        <v>13</v>
      </c>
      <c r="B2" s="160"/>
      <c r="C2" s="160"/>
      <c r="D2" s="160"/>
    </row>
    <row r="3" spans="1:5" ht="22.5" customHeight="1" thickBot="1">
      <c r="A3" s="15" t="s">
        <v>14</v>
      </c>
      <c r="B3" s="124" t="s">
        <v>15</v>
      </c>
      <c r="C3" s="15" t="s">
        <v>16</v>
      </c>
      <c r="D3" s="17" t="s">
        <v>17</v>
      </c>
    </row>
    <row r="4" spans="1:5" ht="15" customHeight="1" thickBot="1">
      <c r="A4" s="124"/>
      <c r="B4" s="125" t="s">
        <v>71</v>
      </c>
      <c r="C4" s="126">
        <f>SUM(C5,C8,C14,C16)</f>
        <v>1991736</v>
      </c>
      <c r="D4" s="126">
        <f>SUM(D5,D8,D14,D16)</f>
        <v>1991736</v>
      </c>
    </row>
    <row r="5" spans="1:5" ht="15" customHeight="1" thickBot="1">
      <c r="A5" s="155" t="s">
        <v>18</v>
      </c>
      <c r="B5" s="156"/>
      <c r="C5" s="18">
        <f>SUM(C6:C7)</f>
        <v>13020</v>
      </c>
      <c r="D5" s="19">
        <f>SUM(D6:D7)</f>
        <v>13020</v>
      </c>
    </row>
    <row r="6" spans="1:5" ht="26.25" customHeight="1">
      <c r="A6" s="20">
        <v>1</v>
      </c>
      <c r="B6" s="21" t="s">
        <v>72</v>
      </c>
      <c r="C6" s="22">
        <f>20+10000</f>
        <v>10020</v>
      </c>
      <c r="D6" s="23">
        <f>20+10000</f>
        <v>10020</v>
      </c>
      <c r="E6" s="24"/>
    </row>
    <row r="7" spans="1:5" ht="15" customHeight="1" thickBot="1">
      <c r="A7" s="25">
        <v>2</v>
      </c>
      <c r="B7" s="26" t="s">
        <v>73</v>
      </c>
      <c r="C7" s="27">
        <v>3000</v>
      </c>
      <c r="D7" s="28">
        <v>3000</v>
      </c>
      <c r="E7" s="24"/>
    </row>
    <row r="8" spans="1:5" ht="15" customHeight="1" thickBot="1">
      <c r="A8" s="155" t="s">
        <v>21</v>
      </c>
      <c r="B8" s="156"/>
      <c r="C8" s="29">
        <f>SUM(C9:C13)</f>
        <v>370598</v>
      </c>
      <c r="D8" s="30">
        <f>SUM(D9:D13)</f>
        <v>370598</v>
      </c>
      <c r="E8" s="24"/>
    </row>
    <row r="9" spans="1:5" ht="27" customHeight="1">
      <c r="A9" s="31">
        <v>1</v>
      </c>
      <c r="B9" s="32" t="s">
        <v>22</v>
      </c>
      <c r="C9" s="33">
        <f>62000+10000</f>
        <v>72000</v>
      </c>
      <c r="D9" s="33">
        <f>62000+10000</f>
        <v>72000</v>
      </c>
      <c r="E9" s="24"/>
    </row>
    <row r="10" spans="1:5" ht="27" customHeight="1">
      <c r="A10" s="35">
        <v>2</v>
      </c>
      <c r="B10" s="36" t="s">
        <v>23</v>
      </c>
      <c r="C10" s="37">
        <f>8534+3000</f>
        <v>11534</v>
      </c>
      <c r="D10" s="37">
        <f>8534+3000</f>
        <v>11534</v>
      </c>
      <c r="E10" s="24"/>
    </row>
    <row r="11" spans="1:5" ht="27" customHeight="1">
      <c r="A11" s="35">
        <v>3</v>
      </c>
      <c r="B11" s="36" t="s">
        <v>24</v>
      </c>
      <c r="C11" s="37">
        <f>500+1000</f>
        <v>1500</v>
      </c>
      <c r="D11" s="37">
        <f>500+1000</f>
        <v>1500</v>
      </c>
      <c r="E11" s="24"/>
    </row>
    <row r="12" spans="1:5" ht="27" customHeight="1">
      <c r="A12" s="35">
        <v>4</v>
      </c>
      <c r="B12" s="36" t="s">
        <v>26</v>
      </c>
      <c r="C12" s="37">
        <v>86600</v>
      </c>
      <c r="D12" s="37">
        <v>86600</v>
      </c>
      <c r="E12" s="24"/>
    </row>
    <row r="13" spans="1:5" s="40" customFormat="1" ht="27.75" customHeight="1" thickBot="1">
      <c r="A13" s="25">
        <v>5</v>
      </c>
      <c r="B13" s="39" t="s">
        <v>28</v>
      </c>
      <c r="C13" s="27">
        <f>193964+5000</f>
        <v>198964</v>
      </c>
      <c r="D13" s="27">
        <f>193964+5000</f>
        <v>198964</v>
      </c>
      <c r="E13" s="24"/>
    </row>
    <row r="14" spans="1:5" ht="15" customHeight="1" thickBot="1">
      <c r="A14" s="155" t="s">
        <v>29</v>
      </c>
      <c r="B14" s="156"/>
      <c r="C14" s="29">
        <f>SUM(C15)</f>
        <v>1305918</v>
      </c>
      <c r="D14" s="30">
        <f>SUM(D15)</f>
        <v>1305918</v>
      </c>
      <c r="E14" s="24"/>
    </row>
    <row r="15" spans="1:5" ht="15.75" customHeight="1" thickBot="1">
      <c r="A15" s="41">
        <v>1</v>
      </c>
      <c r="B15" s="127" t="s">
        <v>74</v>
      </c>
      <c r="C15" s="22">
        <v>1305918</v>
      </c>
      <c r="D15" s="22">
        <v>1305918</v>
      </c>
      <c r="E15" s="24"/>
    </row>
    <row r="16" spans="1:5" ht="15" customHeight="1" thickBot="1">
      <c r="A16" s="155" t="s">
        <v>31</v>
      </c>
      <c r="B16" s="156"/>
      <c r="C16" s="29">
        <f>SUM(C17)</f>
        <v>302200</v>
      </c>
      <c r="D16" s="30">
        <f>SUM(D17)</f>
        <v>302200</v>
      </c>
      <c r="E16" s="24"/>
    </row>
    <row r="17" spans="1:5" ht="15.75" customHeight="1" thickBot="1">
      <c r="A17" s="41">
        <v>1</v>
      </c>
      <c r="B17" s="127" t="s">
        <v>74</v>
      </c>
      <c r="C17" s="22">
        <v>302200</v>
      </c>
      <c r="D17" s="22">
        <v>302200</v>
      </c>
      <c r="E17" s="24"/>
    </row>
    <row r="18" spans="1:5" ht="15" customHeight="1" thickBot="1">
      <c r="A18" s="124"/>
      <c r="B18" s="125" t="s">
        <v>75</v>
      </c>
      <c r="C18" s="126">
        <f>SUM(C19,C21)</f>
        <v>1176853</v>
      </c>
      <c r="D18" s="126">
        <f>SUM(D19,D21)</f>
        <v>1176853</v>
      </c>
      <c r="E18" s="24"/>
    </row>
    <row r="19" spans="1:5" ht="15" customHeight="1" thickBot="1">
      <c r="A19" s="155" t="s">
        <v>36</v>
      </c>
      <c r="B19" s="156"/>
      <c r="C19" s="29">
        <f>SUM(C20:C20)</f>
        <v>334600</v>
      </c>
      <c r="D19" s="30">
        <f>SUM(D20:D20)</f>
        <v>334600</v>
      </c>
      <c r="E19" s="24"/>
    </row>
    <row r="20" spans="1:5" ht="29.25" customHeight="1" thickBot="1">
      <c r="A20" s="46">
        <v>1</v>
      </c>
      <c r="B20" s="47" t="s">
        <v>28</v>
      </c>
      <c r="C20" s="22">
        <v>334600</v>
      </c>
      <c r="D20" s="22">
        <v>334600</v>
      </c>
      <c r="E20" s="24"/>
    </row>
    <row r="21" spans="1:5" ht="15" customHeight="1" thickBot="1">
      <c r="A21" s="155" t="s">
        <v>76</v>
      </c>
      <c r="B21" s="156"/>
      <c r="C21" s="29">
        <f>SUM(C22:C22)</f>
        <v>842253</v>
      </c>
      <c r="D21" s="30">
        <f>SUM(D22:D22)</f>
        <v>842253</v>
      </c>
      <c r="E21" s="24"/>
    </row>
    <row r="22" spans="1:5" ht="17.25" customHeight="1" thickBot="1">
      <c r="A22" s="46">
        <v>1</v>
      </c>
      <c r="B22" s="127" t="s">
        <v>74</v>
      </c>
      <c r="C22" s="22">
        <v>842253</v>
      </c>
      <c r="D22" s="22">
        <v>842253</v>
      </c>
      <c r="E22" s="24"/>
    </row>
    <row r="23" spans="1:5" ht="24" customHeight="1" thickBot="1">
      <c r="A23" s="157" t="s">
        <v>38</v>
      </c>
      <c r="B23" s="158"/>
      <c r="C23" s="48">
        <f>SUM(C4,C18)</f>
        <v>3168589</v>
      </c>
      <c r="D23" s="48">
        <f>SUM(D4,D18)</f>
        <v>3168589</v>
      </c>
      <c r="E23" s="24"/>
    </row>
    <row r="24" spans="1:5" ht="12.75" customHeight="1">
      <c r="A24" s="49"/>
      <c r="B24" s="49"/>
      <c r="C24" s="50"/>
      <c r="D24" s="50"/>
    </row>
    <row r="26" spans="1:5">
      <c r="A26" s="51"/>
      <c r="B26" s="52"/>
      <c r="C26" s="53"/>
      <c r="D26" s="53"/>
    </row>
    <row r="530" spans="17:17">
      <c r="Q530" s="14">
        <f>P530-O530</f>
        <v>0</v>
      </c>
    </row>
  </sheetData>
  <mergeCells count="9">
    <mergeCell ref="A19:B19"/>
    <mergeCell ref="A21:B21"/>
    <mergeCell ref="A23:B23"/>
    <mergeCell ref="B1:D1"/>
    <mergeCell ref="A2:D2"/>
    <mergeCell ref="A5:B5"/>
    <mergeCell ref="A8:B8"/>
    <mergeCell ref="A14:B14"/>
    <mergeCell ref="A16:B16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14" customWidth="1"/>
    <col min="2" max="2" width="43.5" style="14" customWidth="1"/>
    <col min="3" max="4" width="12.75" style="14" customWidth="1"/>
    <col min="5" max="5" width="7.875" style="14" customWidth="1"/>
    <col min="6" max="256" width="9" style="14"/>
    <col min="257" max="257" width="5.125" style="14" customWidth="1"/>
    <col min="258" max="258" width="39.75" style="14" customWidth="1"/>
    <col min="259" max="260" width="12.75" style="14" customWidth="1"/>
    <col min="261" max="261" width="7.875" style="14" customWidth="1"/>
    <col min="262" max="512" width="9" style="14"/>
    <col min="513" max="513" width="5.125" style="14" customWidth="1"/>
    <col min="514" max="514" width="39.75" style="14" customWidth="1"/>
    <col min="515" max="516" width="12.75" style="14" customWidth="1"/>
    <col min="517" max="517" width="7.875" style="14" customWidth="1"/>
    <col min="518" max="768" width="9" style="14"/>
    <col min="769" max="769" width="5.125" style="14" customWidth="1"/>
    <col min="770" max="770" width="39.75" style="14" customWidth="1"/>
    <col min="771" max="772" width="12.75" style="14" customWidth="1"/>
    <col min="773" max="773" width="7.875" style="14" customWidth="1"/>
    <col min="774" max="1024" width="9" style="14"/>
    <col min="1025" max="1025" width="5.125" style="14" customWidth="1"/>
    <col min="1026" max="1026" width="39.75" style="14" customWidth="1"/>
    <col min="1027" max="1028" width="12.75" style="14" customWidth="1"/>
    <col min="1029" max="1029" width="7.875" style="14" customWidth="1"/>
    <col min="1030" max="1280" width="9" style="14"/>
    <col min="1281" max="1281" width="5.125" style="14" customWidth="1"/>
    <col min="1282" max="1282" width="39.75" style="14" customWidth="1"/>
    <col min="1283" max="1284" width="12.75" style="14" customWidth="1"/>
    <col min="1285" max="1285" width="7.875" style="14" customWidth="1"/>
    <col min="1286" max="1536" width="9" style="14"/>
    <col min="1537" max="1537" width="5.125" style="14" customWidth="1"/>
    <col min="1538" max="1538" width="39.75" style="14" customWidth="1"/>
    <col min="1539" max="1540" width="12.75" style="14" customWidth="1"/>
    <col min="1541" max="1541" width="7.875" style="14" customWidth="1"/>
    <col min="1542" max="1792" width="9" style="14"/>
    <col min="1793" max="1793" width="5.125" style="14" customWidth="1"/>
    <col min="1794" max="1794" width="39.75" style="14" customWidth="1"/>
    <col min="1795" max="1796" width="12.75" style="14" customWidth="1"/>
    <col min="1797" max="1797" width="7.875" style="14" customWidth="1"/>
    <col min="1798" max="2048" width="9" style="14"/>
    <col min="2049" max="2049" width="5.125" style="14" customWidth="1"/>
    <col min="2050" max="2050" width="39.75" style="14" customWidth="1"/>
    <col min="2051" max="2052" width="12.75" style="14" customWidth="1"/>
    <col min="2053" max="2053" width="7.875" style="14" customWidth="1"/>
    <col min="2054" max="2304" width="9" style="14"/>
    <col min="2305" max="2305" width="5.125" style="14" customWidth="1"/>
    <col min="2306" max="2306" width="39.75" style="14" customWidth="1"/>
    <col min="2307" max="2308" width="12.75" style="14" customWidth="1"/>
    <col min="2309" max="2309" width="7.875" style="14" customWidth="1"/>
    <col min="2310" max="2560" width="9" style="14"/>
    <col min="2561" max="2561" width="5.125" style="14" customWidth="1"/>
    <col min="2562" max="2562" width="39.75" style="14" customWidth="1"/>
    <col min="2563" max="2564" width="12.75" style="14" customWidth="1"/>
    <col min="2565" max="2565" width="7.875" style="14" customWidth="1"/>
    <col min="2566" max="2816" width="9" style="14"/>
    <col min="2817" max="2817" width="5.125" style="14" customWidth="1"/>
    <col min="2818" max="2818" width="39.75" style="14" customWidth="1"/>
    <col min="2819" max="2820" width="12.75" style="14" customWidth="1"/>
    <col min="2821" max="2821" width="7.875" style="14" customWidth="1"/>
    <col min="2822" max="3072" width="9" style="14"/>
    <col min="3073" max="3073" width="5.125" style="14" customWidth="1"/>
    <col min="3074" max="3074" width="39.75" style="14" customWidth="1"/>
    <col min="3075" max="3076" width="12.75" style="14" customWidth="1"/>
    <col min="3077" max="3077" width="7.875" style="14" customWidth="1"/>
    <col min="3078" max="3328" width="9" style="14"/>
    <col min="3329" max="3329" width="5.125" style="14" customWidth="1"/>
    <col min="3330" max="3330" width="39.75" style="14" customWidth="1"/>
    <col min="3331" max="3332" width="12.75" style="14" customWidth="1"/>
    <col min="3333" max="3333" width="7.875" style="14" customWidth="1"/>
    <col min="3334" max="3584" width="9" style="14"/>
    <col min="3585" max="3585" width="5.125" style="14" customWidth="1"/>
    <col min="3586" max="3586" width="39.75" style="14" customWidth="1"/>
    <col min="3587" max="3588" width="12.75" style="14" customWidth="1"/>
    <col min="3589" max="3589" width="7.875" style="14" customWidth="1"/>
    <col min="3590" max="3840" width="9" style="14"/>
    <col min="3841" max="3841" width="5.125" style="14" customWidth="1"/>
    <col min="3842" max="3842" width="39.75" style="14" customWidth="1"/>
    <col min="3843" max="3844" width="12.75" style="14" customWidth="1"/>
    <col min="3845" max="3845" width="7.875" style="14" customWidth="1"/>
    <col min="3846" max="4096" width="9" style="14"/>
    <col min="4097" max="4097" width="5.125" style="14" customWidth="1"/>
    <col min="4098" max="4098" width="39.75" style="14" customWidth="1"/>
    <col min="4099" max="4100" width="12.75" style="14" customWidth="1"/>
    <col min="4101" max="4101" width="7.875" style="14" customWidth="1"/>
    <col min="4102" max="4352" width="9" style="14"/>
    <col min="4353" max="4353" width="5.125" style="14" customWidth="1"/>
    <col min="4354" max="4354" width="39.75" style="14" customWidth="1"/>
    <col min="4355" max="4356" width="12.75" style="14" customWidth="1"/>
    <col min="4357" max="4357" width="7.875" style="14" customWidth="1"/>
    <col min="4358" max="4608" width="9" style="14"/>
    <col min="4609" max="4609" width="5.125" style="14" customWidth="1"/>
    <col min="4610" max="4610" width="39.75" style="14" customWidth="1"/>
    <col min="4611" max="4612" width="12.75" style="14" customWidth="1"/>
    <col min="4613" max="4613" width="7.875" style="14" customWidth="1"/>
    <col min="4614" max="4864" width="9" style="14"/>
    <col min="4865" max="4865" width="5.125" style="14" customWidth="1"/>
    <col min="4866" max="4866" width="39.75" style="14" customWidth="1"/>
    <col min="4867" max="4868" width="12.75" style="14" customWidth="1"/>
    <col min="4869" max="4869" width="7.875" style="14" customWidth="1"/>
    <col min="4870" max="5120" width="9" style="14"/>
    <col min="5121" max="5121" width="5.125" style="14" customWidth="1"/>
    <col min="5122" max="5122" width="39.75" style="14" customWidth="1"/>
    <col min="5123" max="5124" width="12.75" style="14" customWidth="1"/>
    <col min="5125" max="5125" width="7.875" style="14" customWidth="1"/>
    <col min="5126" max="5376" width="9" style="14"/>
    <col min="5377" max="5377" width="5.125" style="14" customWidth="1"/>
    <col min="5378" max="5378" width="39.75" style="14" customWidth="1"/>
    <col min="5379" max="5380" width="12.75" style="14" customWidth="1"/>
    <col min="5381" max="5381" width="7.875" style="14" customWidth="1"/>
    <col min="5382" max="5632" width="9" style="14"/>
    <col min="5633" max="5633" width="5.125" style="14" customWidth="1"/>
    <col min="5634" max="5634" width="39.75" style="14" customWidth="1"/>
    <col min="5635" max="5636" width="12.75" style="14" customWidth="1"/>
    <col min="5637" max="5637" width="7.875" style="14" customWidth="1"/>
    <col min="5638" max="5888" width="9" style="14"/>
    <col min="5889" max="5889" width="5.125" style="14" customWidth="1"/>
    <col min="5890" max="5890" width="39.75" style="14" customWidth="1"/>
    <col min="5891" max="5892" width="12.75" style="14" customWidth="1"/>
    <col min="5893" max="5893" width="7.875" style="14" customWidth="1"/>
    <col min="5894" max="6144" width="9" style="14"/>
    <col min="6145" max="6145" width="5.125" style="14" customWidth="1"/>
    <col min="6146" max="6146" width="39.75" style="14" customWidth="1"/>
    <col min="6147" max="6148" width="12.75" style="14" customWidth="1"/>
    <col min="6149" max="6149" width="7.875" style="14" customWidth="1"/>
    <col min="6150" max="6400" width="9" style="14"/>
    <col min="6401" max="6401" width="5.125" style="14" customWidth="1"/>
    <col min="6402" max="6402" width="39.75" style="14" customWidth="1"/>
    <col min="6403" max="6404" width="12.75" style="14" customWidth="1"/>
    <col min="6405" max="6405" width="7.875" style="14" customWidth="1"/>
    <col min="6406" max="6656" width="9" style="14"/>
    <col min="6657" max="6657" width="5.125" style="14" customWidth="1"/>
    <col min="6658" max="6658" width="39.75" style="14" customWidth="1"/>
    <col min="6659" max="6660" width="12.75" style="14" customWidth="1"/>
    <col min="6661" max="6661" width="7.875" style="14" customWidth="1"/>
    <col min="6662" max="6912" width="9" style="14"/>
    <col min="6913" max="6913" width="5.125" style="14" customWidth="1"/>
    <col min="6914" max="6914" width="39.75" style="14" customWidth="1"/>
    <col min="6915" max="6916" width="12.75" style="14" customWidth="1"/>
    <col min="6917" max="6917" width="7.875" style="14" customWidth="1"/>
    <col min="6918" max="7168" width="9" style="14"/>
    <col min="7169" max="7169" width="5.125" style="14" customWidth="1"/>
    <col min="7170" max="7170" width="39.75" style="14" customWidth="1"/>
    <col min="7171" max="7172" width="12.75" style="14" customWidth="1"/>
    <col min="7173" max="7173" width="7.875" style="14" customWidth="1"/>
    <col min="7174" max="7424" width="9" style="14"/>
    <col min="7425" max="7425" width="5.125" style="14" customWidth="1"/>
    <col min="7426" max="7426" width="39.75" style="14" customWidth="1"/>
    <col min="7427" max="7428" width="12.75" style="14" customWidth="1"/>
    <col min="7429" max="7429" width="7.875" style="14" customWidth="1"/>
    <col min="7430" max="7680" width="9" style="14"/>
    <col min="7681" max="7681" width="5.125" style="14" customWidth="1"/>
    <col min="7682" max="7682" width="39.75" style="14" customWidth="1"/>
    <col min="7683" max="7684" width="12.75" style="14" customWidth="1"/>
    <col min="7685" max="7685" width="7.875" style="14" customWidth="1"/>
    <col min="7686" max="7936" width="9" style="14"/>
    <col min="7937" max="7937" width="5.125" style="14" customWidth="1"/>
    <col min="7938" max="7938" width="39.75" style="14" customWidth="1"/>
    <col min="7939" max="7940" width="12.75" style="14" customWidth="1"/>
    <col min="7941" max="7941" width="7.875" style="14" customWidth="1"/>
    <col min="7942" max="8192" width="9" style="14"/>
    <col min="8193" max="8193" width="5.125" style="14" customWidth="1"/>
    <col min="8194" max="8194" width="39.75" style="14" customWidth="1"/>
    <col min="8195" max="8196" width="12.75" style="14" customWidth="1"/>
    <col min="8197" max="8197" width="7.875" style="14" customWidth="1"/>
    <col min="8198" max="8448" width="9" style="14"/>
    <col min="8449" max="8449" width="5.125" style="14" customWidth="1"/>
    <col min="8450" max="8450" width="39.75" style="14" customWidth="1"/>
    <col min="8451" max="8452" width="12.75" style="14" customWidth="1"/>
    <col min="8453" max="8453" width="7.875" style="14" customWidth="1"/>
    <col min="8454" max="8704" width="9" style="14"/>
    <col min="8705" max="8705" width="5.125" style="14" customWidth="1"/>
    <col min="8706" max="8706" width="39.75" style="14" customWidth="1"/>
    <col min="8707" max="8708" width="12.75" style="14" customWidth="1"/>
    <col min="8709" max="8709" width="7.875" style="14" customWidth="1"/>
    <col min="8710" max="8960" width="9" style="14"/>
    <col min="8961" max="8961" width="5.125" style="14" customWidth="1"/>
    <col min="8962" max="8962" width="39.75" style="14" customWidth="1"/>
    <col min="8963" max="8964" width="12.75" style="14" customWidth="1"/>
    <col min="8965" max="8965" width="7.875" style="14" customWidth="1"/>
    <col min="8966" max="9216" width="9" style="14"/>
    <col min="9217" max="9217" width="5.125" style="14" customWidth="1"/>
    <col min="9218" max="9218" width="39.75" style="14" customWidth="1"/>
    <col min="9219" max="9220" width="12.75" style="14" customWidth="1"/>
    <col min="9221" max="9221" width="7.875" style="14" customWidth="1"/>
    <col min="9222" max="9472" width="9" style="14"/>
    <col min="9473" max="9473" width="5.125" style="14" customWidth="1"/>
    <col min="9474" max="9474" width="39.75" style="14" customWidth="1"/>
    <col min="9475" max="9476" width="12.75" style="14" customWidth="1"/>
    <col min="9477" max="9477" width="7.875" style="14" customWidth="1"/>
    <col min="9478" max="9728" width="9" style="14"/>
    <col min="9729" max="9729" width="5.125" style="14" customWidth="1"/>
    <col min="9730" max="9730" width="39.75" style="14" customWidth="1"/>
    <col min="9731" max="9732" width="12.75" style="14" customWidth="1"/>
    <col min="9733" max="9733" width="7.875" style="14" customWidth="1"/>
    <col min="9734" max="9984" width="9" style="14"/>
    <col min="9985" max="9985" width="5.125" style="14" customWidth="1"/>
    <col min="9986" max="9986" width="39.75" style="14" customWidth="1"/>
    <col min="9987" max="9988" width="12.75" style="14" customWidth="1"/>
    <col min="9989" max="9989" width="7.875" style="14" customWidth="1"/>
    <col min="9990" max="10240" width="9" style="14"/>
    <col min="10241" max="10241" width="5.125" style="14" customWidth="1"/>
    <col min="10242" max="10242" width="39.75" style="14" customWidth="1"/>
    <col min="10243" max="10244" width="12.75" style="14" customWidth="1"/>
    <col min="10245" max="10245" width="7.875" style="14" customWidth="1"/>
    <col min="10246" max="10496" width="9" style="14"/>
    <col min="10497" max="10497" width="5.125" style="14" customWidth="1"/>
    <col min="10498" max="10498" width="39.75" style="14" customWidth="1"/>
    <col min="10499" max="10500" width="12.75" style="14" customWidth="1"/>
    <col min="10501" max="10501" width="7.875" style="14" customWidth="1"/>
    <col min="10502" max="10752" width="9" style="14"/>
    <col min="10753" max="10753" width="5.125" style="14" customWidth="1"/>
    <col min="10754" max="10754" width="39.75" style="14" customWidth="1"/>
    <col min="10755" max="10756" width="12.75" style="14" customWidth="1"/>
    <col min="10757" max="10757" width="7.875" style="14" customWidth="1"/>
    <col min="10758" max="11008" width="9" style="14"/>
    <col min="11009" max="11009" width="5.125" style="14" customWidth="1"/>
    <col min="11010" max="11010" width="39.75" style="14" customWidth="1"/>
    <col min="11011" max="11012" width="12.75" style="14" customWidth="1"/>
    <col min="11013" max="11013" width="7.875" style="14" customWidth="1"/>
    <col min="11014" max="11264" width="9" style="14"/>
    <col min="11265" max="11265" width="5.125" style="14" customWidth="1"/>
    <col min="11266" max="11266" width="39.75" style="14" customWidth="1"/>
    <col min="11267" max="11268" width="12.75" style="14" customWidth="1"/>
    <col min="11269" max="11269" width="7.875" style="14" customWidth="1"/>
    <col min="11270" max="11520" width="9" style="14"/>
    <col min="11521" max="11521" width="5.125" style="14" customWidth="1"/>
    <col min="11522" max="11522" width="39.75" style="14" customWidth="1"/>
    <col min="11523" max="11524" width="12.75" style="14" customWidth="1"/>
    <col min="11525" max="11525" width="7.875" style="14" customWidth="1"/>
    <col min="11526" max="11776" width="9" style="14"/>
    <col min="11777" max="11777" width="5.125" style="14" customWidth="1"/>
    <col min="11778" max="11778" width="39.75" style="14" customWidth="1"/>
    <col min="11779" max="11780" width="12.75" style="14" customWidth="1"/>
    <col min="11781" max="11781" width="7.875" style="14" customWidth="1"/>
    <col min="11782" max="12032" width="9" style="14"/>
    <col min="12033" max="12033" width="5.125" style="14" customWidth="1"/>
    <col min="12034" max="12034" width="39.75" style="14" customWidth="1"/>
    <col min="12035" max="12036" width="12.75" style="14" customWidth="1"/>
    <col min="12037" max="12037" width="7.875" style="14" customWidth="1"/>
    <col min="12038" max="12288" width="9" style="14"/>
    <col min="12289" max="12289" width="5.125" style="14" customWidth="1"/>
    <col min="12290" max="12290" width="39.75" style="14" customWidth="1"/>
    <col min="12291" max="12292" width="12.75" style="14" customWidth="1"/>
    <col min="12293" max="12293" width="7.875" style="14" customWidth="1"/>
    <col min="12294" max="12544" width="9" style="14"/>
    <col min="12545" max="12545" width="5.125" style="14" customWidth="1"/>
    <col min="12546" max="12546" width="39.75" style="14" customWidth="1"/>
    <col min="12547" max="12548" width="12.75" style="14" customWidth="1"/>
    <col min="12549" max="12549" width="7.875" style="14" customWidth="1"/>
    <col min="12550" max="12800" width="9" style="14"/>
    <col min="12801" max="12801" width="5.125" style="14" customWidth="1"/>
    <col min="12802" max="12802" width="39.75" style="14" customWidth="1"/>
    <col min="12803" max="12804" width="12.75" style="14" customWidth="1"/>
    <col min="12805" max="12805" width="7.875" style="14" customWidth="1"/>
    <col min="12806" max="13056" width="9" style="14"/>
    <col min="13057" max="13057" width="5.125" style="14" customWidth="1"/>
    <col min="13058" max="13058" width="39.75" style="14" customWidth="1"/>
    <col min="13059" max="13060" width="12.75" style="14" customWidth="1"/>
    <col min="13061" max="13061" width="7.875" style="14" customWidth="1"/>
    <col min="13062" max="13312" width="9" style="14"/>
    <col min="13313" max="13313" width="5.125" style="14" customWidth="1"/>
    <col min="13314" max="13314" width="39.75" style="14" customWidth="1"/>
    <col min="13315" max="13316" width="12.75" style="14" customWidth="1"/>
    <col min="13317" max="13317" width="7.875" style="14" customWidth="1"/>
    <col min="13318" max="13568" width="9" style="14"/>
    <col min="13569" max="13569" width="5.125" style="14" customWidth="1"/>
    <col min="13570" max="13570" width="39.75" style="14" customWidth="1"/>
    <col min="13571" max="13572" width="12.75" style="14" customWidth="1"/>
    <col min="13573" max="13573" width="7.875" style="14" customWidth="1"/>
    <col min="13574" max="13824" width="9" style="14"/>
    <col min="13825" max="13825" width="5.125" style="14" customWidth="1"/>
    <col min="13826" max="13826" width="39.75" style="14" customWidth="1"/>
    <col min="13827" max="13828" width="12.75" style="14" customWidth="1"/>
    <col min="13829" max="13829" width="7.875" style="14" customWidth="1"/>
    <col min="13830" max="14080" width="9" style="14"/>
    <col min="14081" max="14081" width="5.125" style="14" customWidth="1"/>
    <col min="14082" max="14082" width="39.75" style="14" customWidth="1"/>
    <col min="14083" max="14084" width="12.75" style="14" customWidth="1"/>
    <col min="14085" max="14085" width="7.875" style="14" customWidth="1"/>
    <col min="14086" max="14336" width="9" style="14"/>
    <col min="14337" max="14337" width="5.125" style="14" customWidth="1"/>
    <col min="14338" max="14338" width="39.75" style="14" customWidth="1"/>
    <col min="14339" max="14340" width="12.75" style="14" customWidth="1"/>
    <col min="14341" max="14341" width="7.875" style="14" customWidth="1"/>
    <col min="14342" max="14592" width="9" style="14"/>
    <col min="14593" max="14593" width="5.125" style="14" customWidth="1"/>
    <col min="14594" max="14594" width="39.75" style="14" customWidth="1"/>
    <col min="14595" max="14596" width="12.75" style="14" customWidth="1"/>
    <col min="14597" max="14597" width="7.875" style="14" customWidth="1"/>
    <col min="14598" max="14848" width="9" style="14"/>
    <col min="14849" max="14849" width="5.125" style="14" customWidth="1"/>
    <col min="14850" max="14850" width="39.75" style="14" customWidth="1"/>
    <col min="14851" max="14852" width="12.75" style="14" customWidth="1"/>
    <col min="14853" max="14853" width="7.875" style="14" customWidth="1"/>
    <col min="14854" max="15104" width="9" style="14"/>
    <col min="15105" max="15105" width="5.125" style="14" customWidth="1"/>
    <col min="15106" max="15106" width="39.75" style="14" customWidth="1"/>
    <col min="15107" max="15108" width="12.75" style="14" customWidth="1"/>
    <col min="15109" max="15109" width="7.875" style="14" customWidth="1"/>
    <col min="15110" max="15360" width="9" style="14"/>
    <col min="15361" max="15361" width="5.125" style="14" customWidth="1"/>
    <col min="15362" max="15362" width="39.75" style="14" customWidth="1"/>
    <col min="15363" max="15364" width="12.75" style="14" customWidth="1"/>
    <col min="15365" max="15365" width="7.875" style="14" customWidth="1"/>
    <col min="15366" max="15616" width="9" style="14"/>
    <col min="15617" max="15617" width="5.125" style="14" customWidth="1"/>
    <col min="15618" max="15618" width="39.75" style="14" customWidth="1"/>
    <col min="15619" max="15620" width="12.75" style="14" customWidth="1"/>
    <col min="15621" max="15621" width="7.875" style="14" customWidth="1"/>
    <col min="15622" max="15872" width="9" style="14"/>
    <col min="15873" max="15873" width="5.125" style="14" customWidth="1"/>
    <col min="15874" max="15874" width="39.75" style="14" customWidth="1"/>
    <col min="15875" max="15876" width="12.75" style="14" customWidth="1"/>
    <col min="15877" max="15877" width="7.875" style="14" customWidth="1"/>
    <col min="15878" max="16128" width="9" style="14"/>
    <col min="16129" max="16129" width="5.125" style="14" customWidth="1"/>
    <col min="16130" max="16130" width="39.75" style="14" customWidth="1"/>
    <col min="16131" max="16132" width="12.75" style="14" customWidth="1"/>
    <col min="16133" max="16133" width="7.875" style="14" customWidth="1"/>
    <col min="16134" max="16384" width="9" style="14"/>
  </cols>
  <sheetData>
    <row r="1" spans="1:5" ht="76.5" customHeight="1">
      <c r="A1" s="13"/>
      <c r="B1" s="159" t="s">
        <v>12</v>
      </c>
      <c r="C1" s="159"/>
      <c r="D1" s="159"/>
    </row>
    <row r="2" spans="1:5" ht="63" customHeight="1" thickBot="1">
      <c r="A2" s="160" t="s">
        <v>13</v>
      </c>
      <c r="B2" s="160"/>
      <c r="C2" s="160"/>
      <c r="D2" s="160"/>
    </row>
    <row r="3" spans="1:5" ht="22.5" customHeight="1" thickBot="1">
      <c r="A3" s="15" t="s">
        <v>14</v>
      </c>
      <c r="B3" s="16" t="s">
        <v>15</v>
      </c>
      <c r="C3" s="15" t="s">
        <v>16</v>
      </c>
      <c r="D3" s="17" t="s">
        <v>17</v>
      </c>
    </row>
    <row r="4" spans="1:5" ht="15" customHeight="1" thickBot="1">
      <c r="A4" s="155" t="s">
        <v>18</v>
      </c>
      <c r="B4" s="156"/>
      <c r="C4" s="18">
        <f>SUM(C5:C6)</f>
        <v>9020</v>
      </c>
      <c r="D4" s="19">
        <f>SUM(D5:D6)</f>
        <v>9020</v>
      </c>
    </row>
    <row r="5" spans="1:5" ht="26.25" customHeight="1">
      <c r="A5" s="20">
        <v>1</v>
      </c>
      <c r="B5" s="21" t="s">
        <v>19</v>
      </c>
      <c r="C5" s="22">
        <f>20+6000</f>
        <v>6020</v>
      </c>
      <c r="D5" s="23">
        <f>20+6000</f>
        <v>6020</v>
      </c>
      <c r="E5" s="24"/>
    </row>
    <row r="6" spans="1:5" ht="15" customHeight="1" thickBot="1">
      <c r="A6" s="25">
        <v>2</v>
      </c>
      <c r="B6" s="26" t="s">
        <v>20</v>
      </c>
      <c r="C6" s="27">
        <v>3000</v>
      </c>
      <c r="D6" s="28">
        <v>3000</v>
      </c>
      <c r="E6" s="24"/>
    </row>
    <row r="7" spans="1:5" ht="15" customHeight="1" thickBot="1">
      <c r="A7" s="155" t="s">
        <v>21</v>
      </c>
      <c r="B7" s="156"/>
      <c r="C7" s="29">
        <f>SUM(C8:C14)</f>
        <v>427851</v>
      </c>
      <c r="D7" s="30">
        <f>SUM(D8:D14)</f>
        <v>427851</v>
      </c>
      <c r="E7" s="24"/>
    </row>
    <row r="8" spans="1:5" ht="27" customHeight="1">
      <c r="A8" s="31">
        <v>1</v>
      </c>
      <c r="B8" s="32" t="s">
        <v>22</v>
      </c>
      <c r="C8" s="33">
        <f>64000+50000</f>
        <v>114000</v>
      </c>
      <c r="D8" s="34">
        <f>64000+50000</f>
        <v>114000</v>
      </c>
      <c r="E8" s="24"/>
    </row>
    <row r="9" spans="1:5" ht="27" customHeight="1">
      <c r="A9" s="35">
        <v>2</v>
      </c>
      <c r="B9" s="36" t="s">
        <v>23</v>
      </c>
      <c r="C9" s="37">
        <f>22034+4104+5220</f>
        <v>31358</v>
      </c>
      <c r="D9" s="38">
        <f>22034+4104+5220</f>
        <v>31358</v>
      </c>
      <c r="E9" s="24"/>
    </row>
    <row r="10" spans="1:5" ht="27" customHeight="1">
      <c r="A10" s="35">
        <v>3</v>
      </c>
      <c r="B10" s="36" t="s">
        <v>24</v>
      </c>
      <c r="C10" s="37">
        <f>1000+1000</f>
        <v>2000</v>
      </c>
      <c r="D10" s="38">
        <f>1000+1000</f>
        <v>2000</v>
      </c>
      <c r="E10" s="24"/>
    </row>
    <row r="11" spans="1:5" ht="27" customHeight="1">
      <c r="A11" s="35">
        <v>4</v>
      </c>
      <c r="B11" s="36" t="s">
        <v>25</v>
      </c>
      <c r="C11" s="37">
        <f>7300+6000</f>
        <v>13300</v>
      </c>
      <c r="D11" s="38">
        <f>7300+6000</f>
        <v>13300</v>
      </c>
      <c r="E11" s="24"/>
    </row>
    <row r="12" spans="1:5" ht="27" customHeight="1">
      <c r="A12" s="35">
        <v>5</v>
      </c>
      <c r="B12" s="36" t="s">
        <v>26</v>
      </c>
      <c r="C12" s="37">
        <f>51900+8800+11700</f>
        <v>72400</v>
      </c>
      <c r="D12" s="38">
        <f>51900+8800+11700</f>
        <v>72400</v>
      </c>
      <c r="E12" s="24"/>
    </row>
    <row r="13" spans="1:5" ht="27" customHeight="1">
      <c r="A13" s="35">
        <v>6</v>
      </c>
      <c r="B13" s="36" t="s">
        <v>27</v>
      </c>
      <c r="C13" s="37">
        <f>3500+1500</f>
        <v>5000</v>
      </c>
      <c r="D13" s="38">
        <f>3500+1500</f>
        <v>5000</v>
      </c>
      <c r="E13" s="24"/>
    </row>
    <row r="14" spans="1:5" s="40" customFormat="1" ht="27.75" customHeight="1" thickBot="1">
      <c r="A14" s="25">
        <v>7</v>
      </c>
      <c r="B14" s="39" t="s">
        <v>28</v>
      </c>
      <c r="C14" s="27">
        <f>171843+5000+12950</f>
        <v>189793</v>
      </c>
      <c r="D14" s="28">
        <f>171843+5000+12950</f>
        <v>189793</v>
      </c>
      <c r="E14" s="24"/>
    </row>
    <row r="15" spans="1:5" ht="15" customHeight="1" thickBot="1">
      <c r="A15" s="155" t="s">
        <v>29</v>
      </c>
      <c r="B15" s="156"/>
      <c r="C15" s="29">
        <f>SUM(C16)</f>
        <v>2300000</v>
      </c>
      <c r="D15" s="30">
        <f>SUM(D16)</f>
        <v>2300000</v>
      </c>
      <c r="E15" s="24"/>
    </row>
    <row r="16" spans="1:5" ht="15" customHeight="1" thickBot="1">
      <c r="A16" s="41">
        <v>1</v>
      </c>
      <c r="B16" s="13" t="s">
        <v>30</v>
      </c>
      <c r="C16" s="22">
        <v>2300000</v>
      </c>
      <c r="D16" s="23">
        <v>2300000</v>
      </c>
      <c r="E16" s="24"/>
    </row>
    <row r="17" spans="1:5" ht="15" customHeight="1" thickBot="1">
      <c r="A17" s="155" t="s">
        <v>31</v>
      </c>
      <c r="B17" s="156"/>
      <c r="C17" s="29">
        <f>SUM(C18:C21)</f>
        <v>345810</v>
      </c>
      <c r="D17" s="30">
        <f>SUM(D18:D21)</f>
        <v>345810</v>
      </c>
      <c r="E17" s="24"/>
    </row>
    <row r="18" spans="1:5" ht="15" customHeight="1">
      <c r="A18" s="31">
        <v>1</v>
      </c>
      <c r="B18" s="42" t="s">
        <v>32</v>
      </c>
      <c r="C18" s="33">
        <v>71000</v>
      </c>
      <c r="D18" s="34">
        <v>71000</v>
      </c>
      <c r="E18" s="24"/>
    </row>
    <row r="19" spans="1:5" s="40" customFormat="1" ht="15" customHeight="1">
      <c r="A19" s="35">
        <v>2</v>
      </c>
      <c r="B19" s="43" t="s">
        <v>33</v>
      </c>
      <c r="C19" s="37">
        <f>30300+1000+1000</f>
        <v>32300</v>
      </c>
      <c r="D19" s="38">
        <f>30300+1000+1000</f>
        <v>32300</v>
      </c>
      <c r="E19" s="44"/>
    </row>
    <row r="20" spans="1:5" ht="15" customHeight="1">
      <c r="A20" s="35">
        <v>3</v>
      </c>
      <c r="B20" s="43" t="s">
        <v>34</v>
      </c>
      <c r="C20" s="37">
        <f>170000+30000+6400</f>
        <v>206400</v>
      </c>
      <c r="D20" s="38">
        <f>170000+30000+6400</f>
        <v>206400</v>
      </c>
      <c r="E20" s="24"/>
    </row>
    <row r="21" spans="1:5" ht="15" customHeight="1" thickBot="1">
      <c r="A21" s="25">
        <v>4</v>
      </c>
      <c r="B21" s="45" t="s">
        <v>35</v>
      </c>
      <c r="C21" s="27">
        <f>34100+2010</f>
        <v>36110</v>
      </c>
      <c r="D21" s="28">
        <f>34100+2010</f>
        <v>36110</v>
      </c>
      <c r="E21" s="24"/>
    </row>
    <row r="22" spans="1:5" ht="15" customHeight="1" thickBot="1">
      <c r="A22" s="155" t="s">
        <v>36</v>
      </c>
      <c r="B22" s="156"/>
      <c r="C22" s="29">
        <f>SUM(C23:C23)</f>
        <v>230200</v>
      </c>
      <c r="D22" s="30">
        <f>SUM(D23:D23)</f>
        <v>230200</v>
      </c>
      <c r="E22" s="24"/>
    </row>
    <row r="23" spans="1:5" ht="29.25" customHeight="1" thickBot="1">
      <c r="A23" s="46">
        <v>1</v>
      </c>
      <c r="B23" s="47" t="s">
        <v>37</v>
      </c>
      <c r="C23" s="22">
        <f>208000+22200</f>
        <v>230200</v>
      </c>
      <c r="D23" s="23">
        <f>208000+22200</f>
        <v>230200</v>
      </c>
      <c r="E23" s="24"/>
    </row>
    <row r="24" spans="1:5" ht="24" customHeight="1" thickBot="1">
      <c r="A24" s="157" t="s">
        <v>38</v>
      </c>
      <c r="B24" s="158"/>
      <c r="C24" s="48">
        <f>SUM(C4,C7,C15,C17,C22)</f>
        <v>3312881</v>
      </c>
      <c r="D24" s="48">
        <f>SUM(D4,D7,D15,D17,D22)</f>
        <v>3312881</v>
      </c>
      <c r="E24" s="24"/>
    </row>
    <row r="25" spans="1:5" ht="12.75" customHeight="1">
      <c r="A25" s="49"/>
      <c r="B25" s="49"/>
      <c r="C25" s="50"/>
      <c r="D25" s="50"/>
    </row>
    <row r="27" spans="1:5">
      <c r="A27" s="51"/>
      <c r="B27" s="52"/>
      <c r="C27" s="53"/>
      <c r="D27" s="53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6</vt:i4>
      </vt:variant>
    </vt:vector>
  </HeadingPairs>
  <TitlesOfParts>
    <vt:vector size="10" baseType="lpstr">
      <vt:lpstr>Załącznik Nr 1</vt:lpstr>
      <vt:lpstr>Załącznik Nr 2 </vt:lpstr>
      <vt:lpstr>Załącznik Nr3</vt:lpstr>
      <vt:lpstr>Załącznik Nr 3</vt:lpstr>
      <vt:lpstr>'Załącznik Nr 1'!Obszar_wydruku</vt:lpstr>
      <vt:lpstr>'Załącznik Nr 2 '!Obszar_wydruku</vt:lpstr>
      <vt:lpstr>'Załącznik Nr 3'!Obszar_wydruku</vt:lpstr>
      <vt:lpstr>'Załącznik Nr3'!Obszar_wydruku</vt:lpstr>
      <vt:lpstr>'Załącznik Nr 1'!Tytuły_wydruku</vt:lpstr>
      <vt:lpstr>'Załącznik Nr 2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Kowal Faustyna</cp:lastModifiedBy>
  <cp:lastPrinted>2023-04-06T07:46:05Z</cp:lastPrinted>
  <dcterms:created xsi:type="dcterms:W3CDTF">2013-02-21T12:03:23Z</dcterms:created>
  <dcterms:modified xsi:type="dcterms:W3CDTF">2023-04-14T09:26:21Z</dcterms:modified>
</cp:coreProperties>
</file>