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29" activeTab="3"/>
  </bookViews>
  <sheets>
    <sheet name="PORÓWNANIE DOCHODÓW" sheetId="1" r:id="rId1"/>
    <sheet name="PORÓWNANIE WYDATKÓW" sheetId="2" r:id="rId2"/>
    <sheet name="zadania remontowe" sheetId="3" r:id="rId3"/>
    <sheet name="zadania inwest. wieloletnie" sheetId="4" r:id="rId4"/>
    <sheet name="zadania inwest.jednoroczne" sheetId="5" r:id="rId5"/>
  </sheets>
  <definedNames>
    <definedName name="_xlnm.Print_Area" localSheetId="0">'PORÓWNANIE DOCHODÓW'!$A$1:$F$108</definedName>
    <definedName name="_xlnm.Print_Area" localSheetId="1">'PORÓWNANIE WYDATKÓW'!$A$1:$F$137</definedName>
    <definedName name="_xlnm.Print_Area" localSheetId="3">'zadania inwest. wieloletnie'!$A$1:$F$52</definedName>
    <definedName name="_xlnm.Print_Area" localSheetId="4">'zadania inwest.jednoroczne'!$A$1:$E$46</definedName>
    <definedName name="_xlnm.Print_Area" localSheetId="2">'zadania remontowe'!$A$1:$E$29</definedName>
    <definedName name="_xlnm.Print_Titles" localSheetId="0">'PORÓWNANIE DOCHODÓW'!$3:$5</definedName>
    <definedName name="_xlnm.Print_Titles" localSheetId="1">'PORÓWNANIE WYDATKÓW'!$3:$5</definedName>
    <definedName name="_xlnm.Print_Titles" localSheetId="3">'zadania inwest. wieloletnie'!$2:$2</definedName>
    <definedName name="_xlnm.Print_Titles" localSheetId="4">'zadania inwest.jednoroczne'!$2:$2</definedName>
    <definedName name="_xlnm.Print_Titles" localSheetId="2">'zadania remontowe'!$2:$2</definedName>
  </definedNames>
  <calcPr fullCalcOnLoad="1"/>
</workbook>
</file>

<file path=xl/sharedStrings.xml><?xml version="1.0" encoding="utf-8"?>
<sst xmlns="http://schemas.openxmlformats.org/spreadsheetml/2006/main" count="547" uniqueCount="332">
  <si>
    <t>Dział</t>
  </si>
  <si>
    <t>010</t>
  </si>
  <si>
    <t>01008</t>
  </si>
  <si>
    <t>01006</t>
  </si>
  <si>
    <t>01004</t>
  </si>
  <si>
    <t>01041</t>
  </si>
  <si>
    <t>01078</t>
  </si>
  <si>
    <t>01095</t>
  </si>
  <si>
    <t>050</t>
  </si>
  <si>
    <t>05011</t>
  </si>
  <si>
    <t>Rozdz.</t>
  </si>
  <si>
    <t>1.</t>
  </si>
  <si>
    <t>2.</t>
  </si>
  <si>
    <t>3.</t>
  </si>
  <si>
    <t>4.</t>
  </si>
  <si>
    <t>5.</t>
  </si>
  <si>
    <t>6.</t>
  </si>
  <si>
    <t>ROLNICTWO I ŁOWIECTWO</t>
  </si>
  <si>
    <t xml:space="preserve">Biura geodezji i terenów rolnych </t>
  </si>
  <si>
    <t>01005</t>
  </si>
  <si>
    <t>Prace geodezyjno-urządzeniowe na potrzeby rolnictwa</t>
  </si>
  <si>
    <t>Melioracje wodne</t>
  </si>
  <si>
    <t>Program Rozwoju Obszarów Wiejskich 2007 - 2013</t>
  </si>
  <si>
    <t xml:space="preserve">Usuwanie skutków klęsk żywiołowych </t>
  </si>
  <si>
    <t>Pozostała działalność</t>
  </si>
  <si>
    <t xml:space="preserve">RYBOŁÓWSTWO I RYBACTWO </t>
  </si>
  <si>
    <t xml:space="preserve">Program Operacyjny Zrównoważony rozwój sektora rybołówstwa i nadbrzeżnych obszarów rybackich 2007 - 2013 </t>
  </si>
  <si>
    <t>PRZETWÓRSTWO PRZEMYSŁOWE</t>
  </si>
  <si>
    <t>Rozwój przedsiębiorczości</t>
  </si>
  <si>
    <t>Rozwój kadr nowoczesnej gospodarki i przedsiębiorczości</t>
  </si>
  <si>
    <t>WYTWARZANIE I ZAOPATRYWANIE W ENERGIĘ ELEKTRYCZNĄ, GAZ I WODĘ</t>
  </si>
  <si>
    <t>HANDEL</t>
  </si>
  <si>
    <t>Promocja eksportu</t>
  </si>
  <si>
    <t>TRANSPORT I ŁĄCZNOŚĆ</t>
  </si>
  <si>
    <t>Krajowe pasażerskie przewozy kolejowe</t>
  </si>
  <si>
    <t>Krajowe pasażerskie przewozy autobusowe</t>
  </si>
  <si>
    <t>Lokalny transport zbiorowy</t>
  </si>
  <si>
    <t>Drogi publiczne wojewódzkie</t>
  </si>
  <si>
    <t>GOSPODARKA MIESZKANIOWA</t>
  </si>
  <si>
    <t>Gospodarka gruntami i nieruchomościami</t>
  </si>
  <si>
    <t>DZIAŁALNOŚĆ USŁUGOWA</t>
  </si>
  <si>
    <t>Biura planowania przestrzennego</t>
  </si>
  <si>
    <t>Ośrodki dokumentacji geodezyjnej i kartograficznej</t>
  </si>
  <si>
    <t>Prace geodezyjne i kartograficzne (nieinwestycyjne)</t>
  </si>
  <si>
    <t>INFORMATYKA</t>
  </si>
  <si>
    <t>NAUKA</t>
  </si>
  <si>
    <t>ADMINISTRACJA PUBLICZNA</t>
  </si>
  <si>
    <t>Urzędy wojewódzkie</t>
  </si>
  <si>
    <t>Urzędy marszałkowskie</t>
  </si>
  <si>
    <t>Komisje egzaminacyjne</t>
  </si>
  <si>
    <t xml:space="preserve">Centrum Rozwoju Zasobów Ludzkich </t>
  </si>
  <si>
    <t>Promocja jednostek samorządu terytorialnego</t>
  </si>
  <si>
    <t>RÓŻNE ROZLICZENIA</t>
  </si>
  <si>
    <t>OŚWIATA I WYCHOWANIE</t>
  </si>
  <si>
    <t>Zakłady kształcenia nauczycieli</t>
  </si>
  <si>
    <t xml:space="preserve">Dokształcanie i doskonalenie nauczycieli </t>
  </si>
  <si>
    <t>Biblioteki pedagogiczne</t>
  </si>
  <si>
    <t>OCHRONA ZDROWIA</t>
  </si>
  <si>
    <t>Ratownictwo medyczne</t>
  </si>
  <si>
    <t>Składki na ubezpieczenie zdrowotne oraz świadczenia dla osób nieobjętych obowiązkiem ubezpieczenia zdrowotnego</t>
  </si>
  <si>
    <t>POMOC SPOŁECZNA</t>
  </si>
  <si>
    <t>Świadczenia rodzinne, świadczenie z funduszu alimentacyjnego oraz składki na ubezpieczenia emerytalne i rentowe z ubezpieczenia społecznego</t>
  </si>
  <si>
    <t>Regionalne ośrodki polityki społecznej</t>
  </si>
  <si>
    <t>Powiatowe centra pomocy rodzinie</t>
  </si>
  <si>
    <t>POZOSTAŁE ZADANIA W ZAKRESIE POLITYKI SPOŁECZNEJ</t>
  </si>
  <si>
    <t>Rehabilitacja zawodowa i społeczna osób niepełnosprawnych</t>
  </si>
  <si>
    <t>EDUKACYJNA OPIEKA WYCHOWAWCZA</t>
  </si>
  <si>
    <t>GOSPODARKA KOMUNALNA I OCHRONA ŚRODOWISKA</t>
  </si>
  <si>
    <t>Zmniejszenie hałasu i wibracji</t>
  </si>
  <si>
    <t>Wpływy i wydatki związane z gromadzeniem środków z opłat i kar za korzystanie ze środowiska</t>
  </si>
  <si>
    <t>Wpływy i wydatki związane z gromadzeniem środków z opłat produktowych</t>
  </si>
  <si>
    <t>KULTURA I OCHRONA DZIEDZICTWA NARODOWEGO</t>
  </si>
  <si>
    <t>Teatry</t>
  </si>
  <si>
    <t>Filharmonie, orkiestry, chóry i kapele</t>
  </si>
  <si>
    <t>Domy i ośrodki kultury, świetlice i kluby</t>
  </si>
  <si>
    <t>Galerie i biura wystaw artystycznych</t>
  </si>
  <si>
    <t>Pozostałe instytucje kultury</t>
  </si>
  <si>
    <t xml:space="preserve">Biblioteki </t>
  </si>
  <si>
    <t>Muzea</t>
  </si>
  <si>
    <t>Ochrona zabytków i opieka nad zabytkami</t>
  </si>
  <si>
    <t>OGRODY BOTANICZNE I ZOOLOGICZNE ORAZ NATURALNE OBSZARY I OBIEKTY CHRONIONEJ PRZYRODY</t>
  </si>
  <si>
    <t>Parki krajobrazowe</t>
  </si>
  <si>
    <t>01009</t>
  </si>
  <si>
    <t>Zarządy melioracji i urządzeń wodnych</t>
  </si>
  <si>
    <t>Spółki wodne</t>
  </si>
  <si>
    <t>Dostarczanie ciepła</t>
  </si>
  <si>
    <t>Dostarczanie energii elektrycznej</t>
  </si>
  <si>
    <t>Infrastruktura kolejowa</t>
  </si>
  <si>
    <t>Infrastruktura telekomunikacyjna</t>
  </si>
  <si>
    <t>TURYSTYKA</t>
  </si>
  <si>
    <t>Zadania w zakresie upowszechniania turystyki</t>
  </si>
  <si>
    <t>Samorządowe sejmiki województw</t>
  </si>
  <si>
    <t>BEZPIECZEŃSTWO PUBLICZNE I OCHRONA PRZECIWPOŻAROWA</t>
  </si>
  <si>
    <t>Zadania ratownictwa górskiego i wodnego</t>
  </si>
  <si>
    <t>OBSŁUGA DŁUGU PUBLICZNEGO</t>
  </si>
  <si>
    <t>Obsługa papierów wartościowych, kredytów i pozyczek jednostek samorządu terytorialnego</t>
  </si>
  <si>
    <t>Rozliczenia z tytułu poręczeń i gwarancji udzielonych przez Skarb Państwa lub jednostkę samorządu terytorialnego</t>
  </si>
  <si>
    <t>Rezerwy ogólne i celowe</t>
  </si>
  <si>
    <t>Szkoły podstawowe specjalne</t>
  </si>
  <si>
    <t>Gimnazja specjalne</t>
  </si>
  <si>
    <t>Licea ogólnokształcące specjalne</t>
  </si>
  <si>
    <t>Szkoły zawodowe</t>
  </si>
  <si>
    <t>Kolegia pracowników służb specjalnych</t>
  </si>
  <si>
    <t>SZKOLNICTWO WYŻSZE</t>
  </si>
  <si>
    <t>Pomoc materialna dla studentów i doktorantów</t>
  </si>
  <si>
    <t>Szpitale ogólne</t>
  </si>
  <si>
    <t>Sanatoria</t>
  </si>
  <si>
    <t>Lecznictwo psychiatryczne</t>
  </si>
  <si>
    <t>Lecznictwo ambulatoryjne</t>
  </si>
  <si>
    <t>Medycyna pracy</t>
  </si>
  <si>
    <t>Zwalczanie narkomanii</t>
  </si>
  <si>
    <t>Przeciwdziałanie alkoholizmowi</t>
  </si>
  <si>
    <t>Ośrodki pomocy społecznej</t>
  </si>
  <si>
    <t>Wojewódzkie urzędy pracy</t>
  </si>
  <si>
    <t>Internaty i bursy szkolne</t>
  </si>
  <si>
    <t>Pomoc materialna dla uczniów</t>
  </si>
  <si>
    <t>Młodzieżowe ośrodki wychowawcze</t>
  </si>
  <si>
    <t>Gospodarka ściekowa i ochrona wód</t>
  </si>
  <si>
    <t>Ochrona powietrza atmosferycznego i klimatu</t>
  </si>
  <si>
    <t>Pozostałe zadania w zakresie kultury</t>
  </si>
  <si>
    <t>KULTURA FIZYCZNA I SPORT</t>
  </si>
  <si>
    <t>Obiekty sportowe</t>
  </si>
  <si>
    <t>Zadania w zakresie kultury fizycznej i sportu</t>
  </si>
  <si>
    <t>WYDATKI OGÓŁEM</t>
  </si>
  <si>
    <t>Drogi publiczne gminne</t>
  </si>
  <si>
    <t>OBRONA NARODOWA</t>
  </si>
  <si>
    <t>Pozostałe wydatki obronne</t>
  </si>
  <si>
    <t>Komendy wojewódzkie Policji</t>
  </si>
  <si>
    <t>Straż Graniczna</t>
  </si>
  <si>
    <t>% 
 (5/4)</t>
  </si>
  <si>
    <t>Usuwanie skutków klęsk żywiołowych</t>
  </si>
  <si>
    <t>Urzędy naczelnych i centralnych organów administracji rządowej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</si>
  <si>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</si>
  <si>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</si>
  <si>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Udziały województw w podatkach stanowiących dochód budżetu państwa</t>
  </si>
  <si>
    <t>Część oświatowa subwencji ogólnej dla jednostek samorządu terytorialnego</t>
  </si>
  <si>
    <t>Uzupełnienie subwencji ogólnej dla jednostek samorządu terytorialnego</t>
  </si>
  <si>
    <t>Część wyrównawcza subwencji ogólnej dla województw</t>
  </si>
  <si>
    <t>Różne rozliczenia finansowe</t>
  </si>
  <si>
    <t>Część regionalna subwencji ogólnej dla województw</t>
  </si>
  <si>
    <t>Regionalne Programy Operacyjne 2007 - 2013</t>
  </si>
  <si>
    <t>Program Operacyjny Kapitał Ludzki</t>
  </si>
  <si>
    <t>DOCHODY OGÓŁEM</t>
  </si>
  <si>
    <t>Wyszczególnienie</t>
  </si>
  <si>
    <t>PORÓWNANIE DOCHODÓW UJĘTYCH W PROJEKCIE UCHWAŁY BUDŻETOWEJ NA 2012 R.
Z PRZEWIDYWANYM WYKONANIEM DOCHODÓW W 2011 R.</t>
  </si>
  <si>
    <t>Przewidywane wykonanie 
w 2011 r.</t>
  </si>
  <si>
    <t>Plan na 2012 r.</t>
  </si>
  <si>
    <t>01042</t>
  </si>
  <si>
    <t>Wyłaczenie gruntów z produkcji rolnej</t>
  </si>
  <si>
    <t>Drogi publiczne powiatowe</t>
  </si>
  <si>
    <t>Kolegia pracowników służb społecznych</t>
  </si>
  <si>
    <t>Pomoc materialna dla studentów i doktoranów</t>
  </si>
  <si>
    <t>Zadania w zakresie przeciwdziałania przemocy w rodzinie</t>
  </si>
  <si>
    <t>Gospodarka sciekowe i ochrona wód</t>
  </si>
  <si>
    <t>Prace geologiczne nieinwestycyjne</t>
  </si>
  <si>
    <t>PORÓWNANIE WYDATKÓW UJĘTYCH W PROJEKCIE UCHWAŁY BUDŻETOWEJ NA 2012 R.
Z PRZEWIDYWANYM WYKONANIEM WYDATKÓW W 2011 R.</t>
  </si>
  <si>
    <t>`</t>
  </si>
  <si>
    <t>OGÓŁEM</t>
  </si>
  <si>
    <t>Zespół Parków Krajobrazowych 
w Przemyślu</t>
  </si>
  <si>
    <t>Zespół Karpackich Parków Krajobrazowych w Krośnie</t>
  </si>
  <si>
    <t>925</t>
  </si>
  <si>
    <t>Wojewódzki Urząd Pracy w Rzeszowie</t>
  </si>
  <si>
    <t>85332</t>
  </si>
  <si>
    <t>853</t>
  </si>
  <si>
    <t>Podkarpacki Zarząd Melioracji i Urządzeń Wodnych w Rzeszowie</t>
  </si>
  <si>
    <t>Urząd Marszałkowski Województwa Podkarpackiego w Rzeszowie</t>
  </si>
  <si>
    <t>700</t>
  </si>
  <si>
    <t xml:space="preserve">remonty budynków, wiat, placów składowych </t>
  </si>
  <si>
    <t>60013</t>
  </si>
  <si>
    <t xml:space="preserve">przeglądy okresowe oraz naprawy uszkodzonych autobusów sdzynowych </t>
  </si>
  <si>
    <t>60001</t>
  </si>
  <si>
    <t>600</t>
  </si>
  <si>
    <t>Podkarpackie Biuro Geodezji i Terenów Rolnych w Rzeszowie</t>
  </si>
  <si>
    <t>Kwota</t>
  </si>
  <si>
    <t>Nazwa zadania</t>
  </si>
  <si>
    <t>Rozdział</t>
  </si>
  <si>
    <t>Zadania remontowe ujęte w projekcie uchwały budżetowej na 2012 r.</t>
  </si>
  <si>
    <t>921</t>
  </si>
  <si>
    <t>2010-2012</t>
  </si>
  <si>
    <t>pomoc finansowa dla Gminy Trzebownisko z przeznaczeniem na pokrycie kosztów realizacji zadania pn. „Odprowadzenie wód opadowych z terenu Podkarpackiego Parku Naukowo-Technologicznego Jasionka oraz terenów Gminy Trzebownisko – Regulacja rowu C-0-2”</t>
  </si>
  <si>
    <t>854</t>
  </si>
  <si>
    <t>851</t>
  </si>
  <si>
    <t>801</t>
  </si>
  <si>
    <t>2007-2013</t>
  </si>
  <si>
    <t xml:space="preserve">dotacje celowe dla beneficjentów na współfinansowanie projektów realizowanych w ramach Regionalnego Programu Operacyjnego Województwa Podkarpackiego </t>
  </si>
  <si>
    <t>2010-2013</t>
  </si>
  <si>
    <t>objęcie akcji zwykłych imiennych Rzeszowskiej Agencji Rozwoju Regionalnego S.A. w Rzeszowie przez Województwo Podkarpackie</t>
  </si>
  <si>
    <t>2011-2015</t>
  </si>
  <si>
    <t>dotacja celowa dla partnera projektu pn. „Budowa Centrum Wystawienniczo-Kongresowego Województwa Podkarpackiego w Rzeszowie” w ramach Programu Operacyjnego Rozwój Polski Wschodniej</t>
  </si>
  <si>
    <t>750</t>
  </si>
  <si>
    <t>2010-2019</t>
  </si>
  <si>
    <t>Sieć Szerokopasmowa Polski Wschodniej – Województwo Podkarpackie</t>
  </si>
  <si>
    <t>2009-2018</t>
  </si>
  <si>
    <t>Podkarpacki System Informacji Medycznej PSIM</t>
  </si>
  <si>
    <t>PSeAP – Podkarpacki System e-Administracji Publicznej</t>
  </si>
  <si>
    <t>720</t>
  </si>
  <si>
    <t>400</t>
  </si>
  <si>
    <t>150</t>
  </si>
  <si>
    <t>2009-2013</t>
  </si>
  <si>
    <t>Podkarpacki Zarząd Melioracji 
i Urządzeń Wodnych w Rzeszowie</t>
  </si>
  <si>
    <t>2002-2014</t>
  </si>
  <si>
    <t>inwestycje melioracyjne</t>
  </si>
  <si>
    <t>Podkarpackie Biuro Geodezji 
i Terenów Rolnych w Rzeszowie</t>
  </si>
  <si>
    <t>2011-2012</t>
  </si>
  <si>
    <t xml:space="preserve">realizacja zadania pn. „Przebudowa instalacji ppoż. oraz wykonanie niezbędnej dokumentacji”  </t>
  </si>
  <si>
    <t>Kwota wydatków w budżecie Województwa na 2012 r.</t>
  </si>
  <si>
    <t>Okres realizacji</t>
  </si>
  <si>
    <t>Zadania inwestycyjne</t>
  </si>
  <si>
    <t>Zadania inwestycyjne wieloletnie ujęte w projekcie uchwały budżetowej na 2012 r.</t>
  </si>
  <si>
    <t>926</t>
  </si>
  <si>
    <t>852</t>
  </si>
  <si>
    <t>inwestycje, w tym zakup aparatury i sprzętu medycznego</t>
  </si>
  <si>
    <t>zakup sprzętu i wyposażenia specjalistycznego</t>
  </si>
  <si>
    <t>75404</t>
  </si>
  <si>
    <t>754</t>
  </si>
  <si>
    <t>inwestycja melioracyjna</t>
  </si>
  <si>
    <t>71095</t>
  </si>
  <si>
    <t>710</t>
  </si>
  <si>
    <t>1) zakup nieruchomości zabudowanej położonej w Przemyślu przeznaczonej na cele
    statutowe Wojewódzkiego szpitala Psychiatrycznego w Żurawicy w kwocie 25.084,- zł
2) zakupy i zamiany działek położonych w pasach drogowych w kwocie 44.916,- zł</t>
  </si>
  <si>
    <t>70005</t>
  </si>
  <si>
    <t>zakup zestawów komputerowych z oprogramowaniem</t>
  </si>
  <si>
    <t>dotacje celowe dla gmin z przeznaczeniem na budowę i modernizację dróg dojazdowych do gruntów rolnych</t>
  </si>
  <si>
    <t>zakup samochodu osobowego</t>
  </si>
  <si>
    <t>1) zakup samochodów osobowych w kwocie 145.000,- zł
2) zakup kserokopiarek, serwera oraz centrali telefonicznej w kwocie 54.500,- zł</t>
  </si>
  <si>
    <t>zakup tachimetrów</t>
  </si>
  <si>
    <t>Zadania inwestycyjne jednoroczne ujęte w projekcie uchwały budżetowej na 2012 r.</t>
  </si>
  <si>
    <t xml:space="preserve">wniesienie wkładu pienięznego  do spółki Port Lotniczy Rzeszów-Jasionka </t>
  </si>
  <si>
    <t>60095</t>
  </si>
  <si>
    <t xml:space="preserve">zakupy sprzętu do utrzymania dróg oraz sprzętu komputerowego wraz oprogramowaniem </t>
  </si>
  <si>
    <t xml:space="preserve">Podkarapcki Zarzad Dróg Wojewódzkich w Rzeszowie </t>
  </si>
  <si>
    <t xml:space="preserve">wydatki na opracowanie dokumentacji technicznych na realizację inwestycji drogowych oraz realizację pozostałych inwestycji na drogach wojewódzkich nie objętych wieloletnim planowaniem </t>
  </si>
  <si>
    <t xml:space="preserve">Przebudowa budynku przy ul. Lubelskiej 4 na cele administracyjno- gospodarcze </t>
  </si>
  <si>
    <t xml:space="preserve">Modernizacja budynku Urzędu Marszałkowskiego przy al. Ł. Cieplińskiego 4  poprzez przebudowę pomieszczeń mieszkalnych na biura, wykonanie klimatyzacji etap II, rozbudowę parkingu </t>
  </si>
  <si>
    <t>Zakup samochodów służbowych</t>
  </si>
  <si>
    <t>inwestycje zaplecza technicznego</t>
  </si>
  <si>
    <t>Budowa śmietnika wraz z ogrodzeniem obok budynku przy ul. Towarnickiego 3A</t>
  </si>
  <si>
    <t xml:space="preserve">Urząd Marszałkowski Województwa Podkarapckiego w Rzeszowie </t>
  </si>
  <si>
    <t>85212</t>
  </si>
  <si>
    <t>Regionalny Ośrodek Polityki Społecznej w Rzeszowie</t>
  </si>
  <si>
    <t>85217</t>
  </si>
  <si>
    <t xml:space="preserve">zakup serwera bazy danych i aplikacji, sieciowego systemu archiwizacji danych, licencji, klimatyzatorów </t>
  </si>
  <si>
    <t xml:space="preserve">zakup serwera bazy danych i aplikacji, sieciowego systemu archiwizacji danych, licencji, klimatyzatorów i skanera </t>
  </si>
  <si>
    <t xml:space="preserve">Zakup pojazdów szynowych na potrzeby kolejowych przewozów osób w województwie podkarpackim (projekt w ramach RPO WP)   </t>
  </si>
  <si>
    <t xml:space="preserve">zakup i modernizacja oraz naprawy główne pojazdów szynowych </t>
  </si>
  <si>
    <t>2010-2015</t>
  </si>
  <si>
    <t>inwestycje drogowe</t>
  </si>
  <si>
    <t xml:space="preserve">wydatki na opracowanie dokumentacji technicznych na realizację inwestycji drogowych </t>
  </si>
  <si>
    <t xml:space="preserve">Podkarpacki Zarząd Dróg Wojewódzkich w Rzeszowie </t>
  </si>
  <si>
    <t xml:space="preserve">Podkarpacki Zarząd Dróg Wojewódzkich 
w Rzeszowie </t>
  </si>
  <si>
    <t>Podkarpackie Biuro Planowania Przestrzennego w Rzeszowie</t>
  </si>
  <si>
    <t>80130</t>
  </si>
  <si>
    <t>remont schodów w budynku szkoły</t>
  </si>
  <si>
    <t>Medyczna Szkoła Policealna w Sanoku</t>
  </si>
  <si>
    <t>remont klasopracowni oraz korytarza w budynku szkoły, bieżące naprawy</t>
  </si>
  <si>
    <t>Medyczna Szkoła Policealna w Łańcucie</t>
  </si>
  <si>
    <t xml:space="preserve">remont pokoi mieszkalnych, sanitariatów i pryszniców oraz pomieszczeń kuchennych w Domu Słuchacza </t>
  </si>
  <si>
    <t>adaptacja pomieszczenia na pracownię analizy leków z montażem dygestorium</t>
  </si>
  <si>
    <t>Medyczna Szkoła Policealna w Jaśle</t>
  </si>
  <si>
    <t>remont chodnika przyległego do budynku szkoły, bieżące naprawy</t>
  </si>
  <si>
    <t>Medyczna Szkoła Policealna w Mielcu</t>
  </si>
  <si>
    <t xml:space="preserve">malowanie pomieszczeń oraz koszty wymiany oświetlenia </t>
  </si>
  <si>
    <t>80147</t>
  </si>
  <si>
    <t xml:space="preserve">instalacja systemu ochrony przeciwpożarowej w  Biurze Obsługi Informatycznej Systemu Bibliotek </t>
  </si>
  <si>
    <t>prace remontowe budynku w Krośnie</t>
  </si>
  <si>
    <t>Medyczna Szkoła Policealna 
w Rzeszowie</t>
  </si>
  <si>
    <t>Medyczna Szkoła Policealna 
w Stalowej Woli</t>
  </si>
  <si>
    <t>Pedagogiczna Biblioteka Wojewódzka 
w Rzeszowie</t>
  </si>
  <si>
    <t>80146</t>
  </si>
  <si>
    <t>2011-2014</t>
  </si>
  <si>
    <t>Podkarpackie Centrum Edukacji Nauczycieli w Rzeszowie</t>
  </si>
  <si>
    <t>Podkarpackie Centrum Edukacji Nauczycieli 
w Rzeszowie</t>
  </si>
  <si>
    <t>Budowa Muzeum Polaków ratujących Żydów na Podkarpaciu im. Rodziny Ulmów w Markowej</t>
  </si>
  <si>
    <t xml:space="preserve">Muzeum - Zamek w Łańcucie </t>
  </si>
  <si>
    <t>71003</t>
  </si>
  <si>
    <t>zakupy inwestycyjne tj. zakup zestawów komputerowych, oprogramowania komputerowego, drukarek wielkoformatowych oraz dysku twardego</t>
  </si>
  <si>
    <t>71012</t>
  </si>
  <si>
    <t>zakupy inwestycyjne tj. zestawów komputerowych, notebooka, tabletu, urządzeń peryferyjnych, bazy danych i oprogramowania, sprzętu i oprogramowania zapewniającego interoperacyjność i harmonizację zbiorów i usług danych przestrzennych</t>
  </si>
  <si>
    <t xml:space="preserve">Wojewódzki Ośrodek Dokumentacji Geodezyjnej i Kartograficznej w Rzeszowie </t>
  </si>
  <si>
    <t>zakupy inwestycyjne, tj. zakup systemów wystawienniczych, opracowanie filmów promocyjnych, spotów reklamowych, wydawnictw promocyjnych własnych, zakup praw autorskich i licencji na wykonanie fotografii</t>
  </si>
  <si>
    <t xml:space="preserve">Modernizację i rozbudowę systemów informatycznych, portalu internetowego, serwerowni głównej oraz  zakup sprzętu komputerowego i oprogramowania </t>
  </si>
  <si>
    <t>Rewitalizacja otwartych przestrzeni rekreacyjnych Miasta Jasła</t>
  </si>
  <si>
    <t>Medyczna Szkoła Plicealna w Jaśle</t>
  </si>
  <si>
    <t>Budowa stacji TRAFO w OENiPAS w Czudcu</t>
  </si>
  <si>
    <t xml:space="preserve">zakup sprzętu komputerowego, oprogramowania komputerowego, czytników kodów, skanera, drukarki </t>
  </si>
  <si>
    <t xml:space="preserve">Pedagogiczna Biblioteka Wojewódzka w Krośnie </t>
  </si>
  <si>
    <t xml:space="preserve">zakup sprzętu komputerowego, oprogramowania komputerowego, czytników kodów, regałów przesuwnych </t>
  </si>
  <si>
    <t>Pedagogiczna Biblioteka Wojewódzka w Przemyślu</t>
  </si>
  <si>
    <t>92601</t>
  </si>
  <si>
    <t>15011</t>
  </si>
  <si>
    <t xml:space="preserve">dotacje celowe dla beneficjentów na współfinansowanie projektów realizowanych w ramach  Programu Operacyjnego Kapitał Ludzki </t>
  </si>
  <si>
    <t>80195</t>
  </si>
  <si>
    <t xml:space="preserve">dotacje celowe dla beneficjentów na współfinansowanie projektów realizowanych w ramach Programu Operacyjnego Kapitał Ludzki </t>
  </si>
  <si>
    <t>85295</t>
  </si>
  <si>
    <t>Poprawa infrastruktury domów i/lub placówek opiekuńczo wychowawczych oraz podnoszenie kwalifikacji personelu w tym również pielęgniarek i pielęgniarzy ww instytucji</t>
  </si>
  <si>
    <t>2012-2015</t>
  </si>
  <si>
    <t>Regionalny Ośrodek Polityki Społecznej 
w Rzeszowie</t>
  </si>
  <si>
    <t xml:space="preserve">dotacje celowe dla beneficjentów na współfinansowanie projektów realizowanych w ramach  Regionalnego Programu Operacyjnego Województwa Podkarpackiego  </t>
  </si>
  <si>
    <t xml:space="preserve">dotacje celowe dla beneficjentów na współfinansowanie projektów realizowanych w ramach  Regionalnego Programu Operacyjnego Województwa Podkarpackiego   </t>
  </si>
  <si>
    <t>Wojewódzka Stacja Pogotowia Ratunkowego w Rzeszowie</t>
  </si>
  <si>
    <t>wykonanie klimatyzacji w budynku przy ul. Lisa Kuli 20 w Rzeszowie</t>
  </si>
  <si>
    <t>zakup karetki</t>
  </si>
  <si>
    <t>zakup samochodu służbowego, sprzętu komputerowego i oprogramowania, ochronę i bezpieczeństwo systemów teleinformatycznych, rozwój infrastruktury lokalnej (LAN, serwerownia), nowoczesny Urząd - e-Government, urządzenia sieciowe</t>
  </si>
  <si>
    <t>Wojewódzki Urząd Pracy 
w Rzeszowie</t>
  </si>
  <si>
    <t>85111</t>
  </si>
  <si>
    <t xml:space="preserve">Modernizacja i doposażenie Szpitala Wojewódzkiego Nr 2 w Rzeszowie na potrzeby funkcjonowania centrum urazowego </t>
  </si>
  <si>
    <t>Szpital Wojewódzki Nr 2 im. Św. Jadwigi Królowej w Rzeszowie</t>
  </si>
  <si>
    <t xml:space="preserve">Modernizacja i rozbudowa Szpitalnego Oddziału Ratunkowego w Szpitalu Wojewódzkim Nr 2 w Rzeszowie </t>
  </si>
  <si>
    <t>2007-2012</t>
  </si>
  <si>
    <t>Modernizacja Wojewódzkiego Szpitala im.Św. Ojca Pio w Przemyślu</t>
  </si>
  <si>
    <t>2008-2012</t>
  </si>
  <si>
    <t>Wojewódzki Szpital 
im. Św. Ojca Pio w Przemyślu</t>
  </si>
  <si>
    <t>Rozbudowa i modernizacja Wojewódzkiego Szpitala Podkarpackiego im. Jana Pawła II w Krośnie</t>
  </si>
  <si>
    <t>85120</t>
  </si>
  <si>
    <t>Modernizacja i rozbudowa Budynku nr 3</t>
  </si>
  <si>
    <t>Jednostka realizująca zadanie/a</t>
  </si>
  <si>
    <t>Edukacja skuteczna, przyjazna, nowoczesna - rozwój kompetencji kadry zarządzającej i pedagogicznej szkół i placówek oświatowych w województwie podkarpackim</t>
  </si>
  <si>
    <t>usługi remontowe związane z utrzymaniem wód pozostałych nieujętych w finansowaniu w ramach działu 010 - Rolnictwo i łowiectwo w stosunku do których Marszałek Województwa Podkarpackiego wykonuje prawa właścicielskie</t>
  </si>
  <si>
    <t>prace zabezpieczające przy budynkach będących w zasobie województwa</t>
  </si>
  <si>
    <t>prace remontowe budynków i garaży PZMiUW w Rzeszowie, Oddziałów i Inspektoratów</t>
  </si>
  <si>
    <t>remont instalacji elektrycznej w budynku biurowym przy ul. Targowej 1 w Rzeszowie</t>
  </si>
  <si>
    <t>remont budynków Wojewódzkiego Urzędu Pracy w Rzeszowie oraz Oddziałów Zamiejscowych</t>
  </si>
  <si>
    <t>remont podłóg i malowanie wynajmowanych pomieszczeń biurowych</t>
  </si>
  <si>
    <t>remont ścieżek przyrodniczo-dydaktycznych „Horyniec-Nowiny Horynieckie” oraz „Za Niwą” w Horyńcu Zdroju na terenie Południoworoztoczańskiego Parku Krajobrazowego</t>
  </si>
  <si>
    <t>usługi remontowe związane z utrzymaniem urządzeń wodnych (cieki uregulowane), wód (cieki nieuregulowane), wałów przeciwpowodziowych, zbiorników wodnych i stacji pomp</t>
  </si>
  <si>
    <t>Wyłaczenie z produkcji gruntów rolnych</t>
  </si>
  <si>
    <t xml:space="preserve">remonty i odnowy dróg wojewódzkich, remonty chodników, obiektów mostowych i przepustów, oznakowanie dróg </t>
  </si>
  <si>
    <t>wykonanie klimatyzacji pomieszczeń biurowych w budynku przy ul. Towarnickiego 3a oraz al. Ł. Cieplińskiego 4 na potrzeby wsparcia procesu zarządzania i wdrażania RPO WP w 2012r. (projekt w ramach PT RPO)</t>
  </si>
  <si>
    <t xml:space="preserve">zakup sprzętu komputerowego, urządzeń biurowych (projekt w ramach PT RPO) </t>
  </si>
  <si>
    <t xml:space="preserve">Wojewódzki Szpital Podkarpacki im. Jana Pawła II w Krośnie </t>
  </si>
  <si>
    <t xml:space="preserve">Specjalistyczny Psychiatryczny  Zespół  Opieki Zdrowotnej im. Prof. A. Kepińskiego 
w Jarosławiu </t>
  </si>
  <si>
    <t>dotacja celowa na pomoc finansową dla jednostek samorządu terytorialnego na realizację programu rządowego „Moje boisko – Orlik 2012”</t>
  </si>
  <si>
    <t>Jednostka realizująca zadanie/a inwestycyjne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</si>
</sst>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4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51">
      <alignment/>
      <protection/>
    </xf>
    <xf numFmtId="0" fontId="0" fillId="0" borderId="10" xfId="51" applyFont="1" applyBorder="1" applyAlignment="1">
      <alignment horizontal="center" vertical="center" wrapText="1"/>
      <protection/>
    </xf>
    <xf numFmtId="0" fontId="3" fillId="0" borderId="0" xfId="51" applyFont="1" applyFill="1">
      <alignment/>
      <protection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>
      <alignment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34" borderId="0" xfId="51" applyFont="1" applyFill="1">
      <alignment/>
      <protection/>
    </xf>
    <xf numFmtId="0" fontId="2" fillId="33" borderId="1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vertical="center" wrapText="1"/>
      <protection/>
    </xf>
    <xf numFmtId="3" fontId="8" fillId="33" borderId="10" xfId="51" applyNumberFormat="1" applyFont="1" applyFill="1" applyBorder="1" applyAlignment="1">
      <alignment horizontal="right" vertical="center" wrapText="1"/>
      <protection/>
    </xf>
    <xf numFmtId="0" fontId="9" fillId="0" borderId="10" xfId="51" applyFont="1" applyFill="1" applyBorder="1" applyAlignment="1">
      <alignment vertical="center" wrapText="1"/>
      <protection/>
    </xf>
    <xf numFmtId="3" fontId="9" fillId="0" borderId="10" xfId="51" applyNumberFormat="1" applyFont="1" applyFill="1" applyBorder="1" applyAlignment="1">
      <alignment horizontal="right" vertical="center" wrapText="1"/>
      <protection/>
    </xf>
    <xf numFmtId="0" fontId="53" fillId="0" borderId="10" xfId="51" applyFont="1" applyFill="1" applyBorder="1" applyAlignment="1">
      <alignment horizontal="center" vertical="center" wrapText="1"/>
      <protection/>
    </xf>
    <xf numFmtId="0" fontId="53" fillId="0" borderId="10" xfId="51" applyFont="1" applyFill="1" applyBorder="1" applyAlignment="1">
      <alignment vertical="center" wrapText="1"/>
      <protection/>
    </xf>
    <xf numFmtId="3" fontId="53" fillId="0" borderId="10" xfId="51" applyNumberFormat="1" applyFont="1" applyFill="1" applyBorder="1" applyAlignment="1">
      <alignment horizontal="right" vertical="center" wrapText="1"/>
      <protection/>
    </xf>
    <xf numFmtId="0" fontId="54" fillId="33" borderId="10" xfId="51" applyFont="1" applyFill="1" applyBorder="1" applyAlignment="1">
      <alignment horizontal="center" vertical="center" wrapText="1"/>
      <protection/>
    </xf>
    <xf numFmtId="0" fontId="54" fillId="33" borderId="10" xfId="51" applyFont="1" applyFill="1" applyBorder="1" applyAlignment="1">
      <alignment vertical="center" wrapText="1"/>
      <protection/>
    </xf>
    <xf numFmtId="3" fontId="54" fillId="33" borderId="10" xfId="51" applyNumberFormat="1" applyFont="1" applyFill="1" applyBorder="1" applyAlignment="1">
      <alignment horizontal="right" vertical="center" wrapText="1"/>
      <protection/>
    </xf>
    <xf numFmtId="0" fontId="3" fillId="33" borderId="0" xfId="51" applyFill="1">
      <alignment/>
      <protection/>
    </xf>
    <xf numFmtId="0" fontId="53" fillId="0" borderId="10" xfId="51" applyFont="1" applyFill="1" applyBorder="1" applyAlignment="1">
      <alignment horizontal="center" vertical="center" wrapText="1"/>
      <protection/>
    </xf>
    <xf numFmtId="0" fontId="53" fillId="0" borderId="10" xfId="51" applyFont="1" applyFill="1" applyBorder="1" applyAlignment="1">
      <alignment horizontal="left" vertical="center" wrapText="1"/>
      <protection/>
    </xf>
    <xf numFmtId="3" fontId="53" fillId="0" borderId="10" xfId="51" applyNumberFormat="1" applyFont="1" applyFill="1" applyBorder="1" applyAlignment="1">
      <alignment horizontal="right" vertical="center" wrapText="1"/>
      <protection/>
    </xf>
    <xf numFmtId="0" fontId="53" fillId="0" borderId="10" xfId="5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0" fontId="3" fillId="33" borderId="0" xfId="51" applyFont="1" applyFill="1">
      <alignment/>
      <protection/>
    </xf>
    <xf numFmtId="0" fontId="54" fillId="33" borderId="10" xfId="51" applyFont="1" applyFill="1" applyBorder="1" applyAlignment="1">
      <alignment horizontal="center" vertical="center" wrapText="1"/>
      <protection/>
    </xf>
    <xf numFmtId="0" fontId="54" fillId="33" borderId="10" xfId="51" applyFont="1" applyFill="1" applyBorder="1" applyAlignment="1">
      <alignment vertical="center" wrapText="1"/>
      <protection/>
    </xf>
    <xf numFmtId="3" fontId="54" fillId="33" borderId="10" xfId="51" applyNumberFormat="1" applyFont="1" applyFill="1" applyBorder="1" applyAlignment="1">
      <alignment horizontal="right" vertical="center" wrapText="1"/>
      <protection/>
    </xf>
    <xf numFmtId="0" fontId="53" fillId="33" borderId="10" xfId="51" applyFont="1" applyFill="1" applyBorder="1" applyAlignment="1">
      <alignment horizontal="center" vertical="center" wrapText="1"/>
      <protection/>
    </xf>
    <xf numFmtId="0" fontId="54" fillId="33" borderId="10" xfId="51" applyFont="1" applyFill="1" applyBorder="1" applyAlignment="1">
      <alignment horizontal="left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3" fontId="3" fillId="0" borderId="0" xfId="51" applyNumberFormat="1" applyFont="1" applyAlignment="1">
      <alignment vertical="center"/>
      <protection/>
    </xf>
    <xf numFmtId="0" fontId="3" fillId="0" borderId="0" xfId="51" applyFont="1" applyAlignment="1">
      <alignment horizontal="right" vertical="center"/>
      <protection/>
    </xf>
    <xf numFmtId="0" fontId="3" fillId="0" borderId="0" xfId="51" applyAlignment="1">
      <alignment horizontal="right" vertical="center"/>
      <protection/>
    </xf>
    <xf numFmtId="4" fontId="3" fillId="0" borderId="0" xfId="51" applyNumberFormat="1">
      <alignment/>
      <protection/>
    </xf>
    <xf numFmtId="3" fontId="3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0" fontId="3" fillId="0" borderId="0" xfId="51" applyFill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164" fontId="0" fillId="0" borderId="10" xfId="51" applyNumberFormat="1" applyFont="1" applyFill="1" applyBorder="1" applyAlignment="1">
      <alignment horizontal="right" vertical="center" wrapText="1"/>
      <protection/>
    </xf>
    <xf numFmtId="3" fontId="2" fillId="33" borderId="10" xfId="51" applyNumberFormat="1" applyFont="1" applyFill="1" applyBorder="1" applyAlignment="1">
      <alignment horizontal="right" vertical="center" wrapText="1"/>
      <protection/>
    </xf>
    <xf numFmtId="0" fontId="3" fillId="0" borderId="11" xfId="51" applyFont="1" applyBorder="1" applyAlignment="1">
      <alignment vertical="center"/>
      <protection/>
    </xf>
    <xf numFmtId="0" fontId="3" fillId="0" borderId="11" xfId="51" applyFont="1" applyFill="1" applyBorder="1" applyAlignment="1">
      <alignment vertical="center"/>
      <protection/>
    </xf>
    <xf numFmtId="0" fontId="5" fillId="0" borderId="11" xfId="51" applyFont="1" applyFill="1" applyBorder="1" applyAlignment="1">
      <alignment vertical="center"/>
      <protection/>
    </xf>
    <xf numFmtId="3" fontId="3" fillId="0" borderId="11" xfId="51" applyNumberFormat="1" applyFont="1" applyFill="1" applyBorder="1" applyAlignment="1">
      <alignment vertical="center"/>
      <protection/>
    </xf>
    <xf numFmtId="0" fontId="2" fillId="33" borderId="10" xfId="51" applyFont="1" applyFill="1" applyBorder="1" applyAlignment="1" quotePrefix="1">
      <alignment horizontal="center" vertical="center" wrapText="1"/>
      <protection/>
    </xf>
    <xf numFmtId="0" fontId="2" fillId="33" borderId="10" xfId="51" applyFont="1" applyFill="1" applyBorder="1" applyAlignment="1">
      <alignment vertical="center" wrapText="1"/>
      <protection/>
    </xf>
    <xf numFmtId="164" fontId="2" fillId="33" borderId="10" xfId="51" applyNumberFormat="1" applyFont="1" applyFill="1" applyBorder="1" applyAlignment="1">
      <alignment vertical="center" wrapText="1"/>
      <protection/>
    </xf>
    <xf numFmtId="0" fontId="0" fillId="0" borderId="10" xfId="51" applyFont="1" applyFill="1" applyBorder="1" applyAlignment="1" quotePrefix="1">
      <alignment horizontal="center" vertical="center" wrapText="1"/>
      <protection/>
    </xf>
    <xf numFmtId="49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0" xfId="51" applyFont="1" applyFill="1" applyBorder="1" applyAlignment="1" quotePrefix="1">
      <alignment horizontal="center"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2" fillId="33" borderId="10" xfId="51" applyNumberFormat="1" applyFont="1" applyFill="1" applyBorder="1" applyAlignment="1">
      <alignment horizontal="left" vertical="center" wrapText="1"/>
      <protection/>
    </xf>
    <xf numFmtId="3" fontId="2" fillId="33" borderId="10" xfId="51" applyNumberFormat="1" applyFont="1" applyFill="1" applyBorder="1" applyAlignment="1">
      <alignment horizontal="right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164" fontId="0" fillId="0" borderId="10" xfId="51" applyNumberFormat="1" applyFont="1" applyFill="1" applyBorder="1" applyAlignment="1">
      <alignment vertical="center" wrapText="1"/>
      <protection/>
    </xf>
    <xf numFmtId="0" fontId="0" fillId="35" borderId="10" xfId="51" applyFont="1" applyFill="1" applyBorder="1" applyAlignment="1">
      <alignment horizontal="center" vertical="center" wrapText="1"/>
      <protection/>
    </xf>
    <xf numFmtId="0" fontId="0" fillId="35" borderId="10" xfId="51" applyFont="1" applyFill="1" applyBorder="1" applyAlignment="1">
      <alignment vertical="center" wrapText="1"/>
      <protection/>
    </xf>
    <xf numFmtId="3" fontId="0" fillId="35" borderId="10" xfId="51" applyNumberFormat="1" applyFont="1" applyFill="1" applyBorder="1" applyAlignment="1">
      <alignment horizontal="right" vertical="center" wrapText="1"/>
      <protection/>
    </xf>
    <xf numFmtId="164" fontId="0" fillId="35" borderId="10" xfId="51" applyNumberFormat="1" applyFont="1" applyFill="1" applyBorder="1" applyAlignment="1">
      <alignment vertical="center" wrapText="1"/>
      <protection/>
    </xf>
    <xf numFmtId="3" fontId="2" fillId="34" borderId="10" xfId="51" applyNumberFormat="1" applyFont="1" applyFill="1" applyBorder="1" applyAlignment="1">
      <alignment horizontal="right" vertical="center" wrapText="1"/>
      <protection/>
    </xf>
    <xf numFmtId="164" fontId="2" fillId="34" borderId="10" xfId="51" applyNumberFormat="1" applyFont="1" applyFill="1" applyBorder="1" applyAlignment="1">
      <alignment horizontal="right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2" fillId="33" borderId="12" xfId="51" applyFont="1" applyFill="1" applyBorder="1" applyAlignment="1" quotePrefix="1">
      <alignment horizontal="center" vertical="center" wrapText="1"/>
      <protection/>
    </xf>
    <xf numFmtId="0" fontId="2" fillId="33" borderId="13" xfId="51" applyFont="1" applyFill="1" applyBorder="1" applyAlignment="1" quotePrefix="1">
      <alignment horizontal="center" vertical="center" wrapText="1"/>
      <protection/>
    </xf>
    <xf numFmtId="0" fontId="2" fillId="33" borderId="13" xfId="51" applyFont="1" applyFill="1" applyBorder="1" applyAlignment="1">
      <alignment vertical="center" wrapText="1"/>
      <protection/>
    </xf>
    <xf numFmtId="3" fontId="2" fillId="33" borderId="13" xfId="51" applyNumberFormat="1" applyFont="1" applyFill="1" applyBorder="1" applyAlignment="1">
      <alignment horizontal="right" vertical="center" wrapText="1"/>
      <protection/>
    </xf>
    <xf numFmtId="164" fontId="2" fillId="33" borderId="13" xfId="51" applyNumberFormat="1" applyFont="1" applyFill="1" applyBorder="1" applyAlignment="1">
      <alignment vertical="center" wrapText="1"/>
      <protection/>
    </xf>
    <xf numFmtId="0" fontId="0" fillId="0" borderId="14" xfId="51" applyFont="1" applyFill="1" applyBorder="1" applyAlignment="1" quotePrefix="1">
      <alignment horizontal="center" vertical="center" wrapText="1"/>
      <protection/>
    </xf>
    <xf numFmtId="49" fontId="0" fillId="0" borderId="13" xfId="51" applyNumberFormat="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3" fontId="0" fillId="0" borderId="13" xfId="51" applyNumberFormat="1" applyFont="1" applyFill="1" applyBorder="1" applyAlignment="1">
      <alignment horizontal="right" vertical="center" wrapText="1"/>
      <protection/>
    </xf>
    <xf numFmtId="164" fontId="0" fillId="0" borderId="13" xfId="51" applyNumberFormat="1" applyFont="1" applyFill="1" applyBorder="1" applyAlignment="1">
      <alignment horizontal="right" vertical="center" wrapText="1"/>
      <protection/>
    </xf>
    <xf numFmtId="0" fontId="0" fillId="0" borderId="13" xfId="51" applyFont="1" applyFill="1" applyBorder="1" applyAlignment="1" quotePrefix="1">
      <alignment horizontal="center"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3" fontId="0" fillId="0" borderId="13" xfId="51" applyNumberFormat="1" applyFont="1" applyFill="1" applyBorder="1" applyAlignment="1">
      <alignment horizontal="right" vertical="center" wrapText="1"/>
      <protection/>
    </xf>
    <xf numFmtId="49" fontId="2" fillId="33" borderId="13" xfId="51" applyNumberFormat="1" applyFont="1" applyFill="1" applyBorder="1" applyAlignment="1">
      <alignment horizontal="center" vertical="center" wrapText="1"/>
      <protection/>
    </xf>
    <xf numFmtId="49" fontId="2" fillId="33" borderId="13" xfId="51" applyNumberFormat="1" applyFont="1" applyFill="1" applyBorder="1" applyAlignment="1">
      <alignment horizontal="left" vertical="center" wrapText="1"/>
      <protection/>
    </xf>
    <xf numFmtId="0" fontId="2" fillId="33" borderId="15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vertical="center" wrapText="1"/>
      <protection/>
    </xf>
    <xf numFmtId="3" fontId="2" fillId="33" borderId="13" xfId="51" applyNumberFormat="1" applyFont="1" applyFill="1" applyBorder="1" applyAlignment="1">
      <alignment horizontal="right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4" xfId="51" applyFont="1" applyFill="1" applyBorder="1" applyAlignment="1">
      <alignment horizontal="center" vertical="center" wrapText="1"/>
      <protection/>
    </xf>
    <xf numFmtId="3" fontId="2" fillId="34" borderId="15" xfId="51" applyNumberFormat="1" applyFont="1" applyFill="1" applyBorder="1" applyAlignment="1">
      <alignment horizontal="right" vertical="center" wrapText="1"/>
      <protection/>
    </xf>
    <xf numFmtId="164" fontId="2" fillId="34" borderId="13" xfId="51" applyNumberFormat="1" applyFont="1" applyFill="1" applyBorder="1" applyAlignment="1">
      <alignment horizontal="right" vertical="center" wrapText="1"/>
      <protection/>
    </xf>
    <xf numFmtId="3" fontId="3" fillId="0" borderId="0" xfId="51" applyNumberFormat="1" applyAlignment="1">
      <alignment horizontal="right" vertical="center"/>
      <protection/>
    </xf>
    <xf numFmtId="0" fontId="2" fillId="33" borderId="16" xfId="51" applyFont="1" applyFill="1" applyBorder="1" applyAlignment="1">
      <alignment vertical="center" wrapText="1"/>
      <protection/>
    </xf>
    <xf numFmtId="0" fontId="2" fillId="33" borderId="15" xfId="51" applyFont="1" applyFill="1" applyBorder="1" applyAlignment="1">
      <alignment vertical="center" wrapText="1"/>
      <protection/>
    </xf>
    <xf numFmtId="3" fontId="2" fillId="33" borderId="15" xfId="51" applyNumberFormat="1" applyFont="1" applyFill="1" applyBorder="1" applyAlignment="1">
      <alignment horizontal="right" vertical="center" wrapText="1"/>
      <protection/>
    </xf>
    <xf numFmtId="0" fontId="2" fillId="33" borderId="12" xfId="51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164" fontId="0" fillId="33" borderId="13" xfId="51" applyNumberFormat="1" applyFont="1" applyFill="1" applyBorder="1" applyAlignment="1">
      <alignment horizontal="right" vertical="center" wrapText="1"/>
      <protection/>
    </xf>
    <xf numFmtId="0" fontId="0" fillId="33" borderId="10" xfId="51" applyFont="1" applyFill="1" applyBorder="1" applyAlignment="1">
      <alignment vertical="center" wrapText="1"/>
      <protection/>
    </xf>
    <xf numFmtId="164" fontId="2" fillId="33" borderId="13" xfId="51" applyNumberFormat="1" applyFont="1" applyFill="1" applyBorder="1" applyAlignment="1">
      <alignment horizontal="right" vertical="center" wrapText="1"/>
      <protection/>
    </xf>
    <xf numFmtId="164" fontId="0" fillId="0" borderId="13" xfId="51" applyNumberFormat="1" applyFont="1" applyFill="1" applyBorder="1" applyAlignment="1">
      <alignment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5" fillId="0" borderId="0" xfId="51" applyFont="1" applyFill="1">
      <alignment/>
      <protection/>
    </xf>
    <xf numFmtId="4" fontId="3" fillId="0" borderId="0" xfId="51" applyNumberFormat="1" applyFill="1">
      <alignment/>
      <protection/>
    </xf>
    <xf numFmtId="0" fontId="3" fillId="0" borderId="0" xfId="51" applyFont="1" applyFill="1" applyAlignment="1">
      <alignment vertical="center"/>
      <protection/>
    </xf>
    <xf numFmtId="0" fontId="6" fillId="0" borderId="11" xfId="51" applyFont="1" applyFill="1" applyBorder="1" applyAlignment="1">
      <alignment vertical="center"/>
      <protection/>
    </xf>
    <xf numFmtId="164" fontId="2" fillId="33" borderId="10" xfId="51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36" borderId="0" xfId="0" applyFill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right"/>
    </xf>
    <xf numFmtId="3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14" fillId="36" borderId="10" xfId="0" applyFont="1" applyFill="1" applyBorder="1" applyAlignment="1">
      <alignment horizontal="center" vertical="center" wrapText="1"/>
    </xf>
    <xf numFmtId="3" fontId="17" fillId="36" borderId="10" xfId="0" applyNumberFormat="1" applyFont="1" applyFill="1" applyBorder="1" applyAlignment="1">
      <alignment horizontal="right"/>
    </xf>
    <xf numFmtId="0" fontId="17" fillId="38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3" fontId="17" fillId="36" borderId="10" xfId="0" applyNumberFormat="1" applyFont="1" applyFill="1" applyBorder="1" applyAlignment="1">
      <alignment horizontal="right" vertical="center"/>
    </xf>
    <xf numFmtId="0" fontId="57" fillId="36" borderId="10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38" borderId="10" xfId="0" applyFont="1" applyFill="1" applyBorder="1" applyAlignment="1">
      <alignment horizontal="center" vertical="center" wrapText="1"/>
    </xf>
    <xf numFmtId="3" fontId="17" fillId="38" borderId="10" xfId="0" applyNumberFormat="1" applyFont="1" applyFill="1" applyBorder="1" applyAlignment="1">
      <alignment horizontal="right" vertical="center"/>
    </xf>
    <xf numFmtId="0" fontId="18" fillId="38" borderId="10" xfId="0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 wrapText="1"/>
    </xf>
    <xf numFmtId="49" fontId="18" fillId="38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38" borderId="10" xfId="0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3" fontId="17" fillId="38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7" fillId="38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/>
    </xf>
    <xf numFmtId="3" fontId="58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vertical="center" wrapText="1"/>
    </xf>
    <xf numFmtId="0" fontId="56" fillId="0" borderId="16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2" fillId="34" borderId="16" xfId="51" applyFont="1" applyFill="1" applyBorder="1" applyAlignment="1">
      <alignment horizontal="center" vertical="center" wrapText="1"/>
      <protection/>
    </xf>
    <xf numFmtId="0" fontId="2" fillId="34" borderId="19" xfId="51" applyFont="1" applyFill="1" applyBorder="1" applyAlignment="1">
      <alignment horizontal="center" vertical="center" wrapText="1"/>
      <protection/>
    </xf>
    <xf numFmtId="0" fontId="2" fillId="34" borderId="15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 quotePrefix="1">
      <alignment horizontal="center" vertical="center" wrapText="1"/>
      <protection/>
    </xf>
    <xf numFmtId="0" fontId="0" fillId="0" borderId="18" xfId="51" applyFont="1" applyFill="1" applyBorder="1" applyAlignment="1" quotePrefix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4" fillId="0" borderId="20" xfId="51" applyFont="1" applyBorder="1" applyAlignment="1">
      <alignment horizontal="center" vertical="center" wrapText="1"/>
      <protection/>
    </xf>
    <xf numFmtId="0" fontId="2" fillId="35" borderId="14" xfId="51" applyFont="1" applyFill="1" applyBorder="1" applyAlignment="1">
      <alignment horizontal="center" vertical="center" wrapText="1"/>
      <protection/>
    </xf>
    <xf numFmtId="0" fontId="2" fillId="35" borderId="18" xfId="51" applyFont="1" applyFill="1" applyBorder="1" applyAlignment="1">
      <alignment horizontal="center" vertical="center" wrapText="1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 quotePrefix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15" fillId="37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8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/>
    </xf>
    <xf numFmtId="49" fontId="18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9"/>
  <sheetViews>
    <sheetView view="pageBreakPreview" zoomScaleSheetLayoutView="100" zoomScalePageLayoutView="0" workbookViewId="0" topLeftCell="A64">
      <selection activeCell="G61" sqref="G61"/>
    </sheetView>
  </sheetViews>
  <sheetFormatPr defaultColWidth="9.140625" defaultRowHeight="12.75"/>
  <cols>
    <col min="1" max="1" width="6.00390625" style="38" customWidth="1"/>
    <col min="2" max="2" width="7.57421875" style="38" customWidth="1"/>
    <col min="3" max="3" width="67.7109375" style="39" customWidth="1"/>
    <col min="4" max="4" width="17.140625" style="39" customWidth="1"/>
    <col min="5" max="5" width="16.00390625" style="39" customWidth="1"/>
    <col min="6" max="6" width="10.421875" style="41" customWidth="1"/>
    <col min="7" max="7" width="16.140625" style="1" customWidth="1"/>
    <col min="8" max="8" width="9.140625" style="1" customWidth="1"/>
    <col min="9" max="9" width="10.7109375" style="1" bestFit="1" customWidth="1"/>
    <col min="10" max="16384" width="9.140625" style="1" customWidth="1"/>
  </cols>
  <sheetData>
    <row r="1" spans="1:6" ht="27.75" customHeight="1">
      <c r="A1" s="239" t="s">
        <v>144</v>
      </c>
      <c r="B1" s="239"/>
      <c r="C1" s="239"/>
      <c r="D1" s="239"/>
      <c r="E1" s="239"/>
      <c r="F1" s="239"/>
    </row>
    <row r="2" spans="1:6" ht="36.75" customHeight="1">
      <c r="A2" s="239"/>
      <c r="B2" s="239"/>
      <c r="C2" s="239"/>
      <c r="D2" s="239"/>
      <c r="E2" s="239"/>
      <c r="F2" s="239"/>
    </row>
    <row r="3" spans="1:6" ht="31.5" customHeight="1">
      <c r="A3" s="240" t="s">
        <v>0</v>
      </c>
      <c r="B3" s="240" t="s">
        <v>10</v>
      </c>
      <c r="C3" s="240" t="s">
        <v>143</v>
      </c>
      <c r="D3" s="240" t="s">
        <v>145</v>
      </c>
      <c r="E3" s="240" t="s">
        <v>146</v>
      </c>
      <c r="F3" s="242" t="s">
        <v>129</v>
      </c>
    </row>
    <row r="4" spans="1:6" ht="15.75" customHeight="1">
      <c r="A4" s="241"/>
      <c r="B4" s="241"/>
      <c r="C4" s="241"/>
      <c r="D4" s="241"/>
      <c r="E4" s="241"/>
      <c r="F4" s="243"/>
    </row>
    <row r="5" spans="1:6" ht="12.75">
      <c r="A5" s="72" t="s">
        <v>11</v>
      </c>
      <c r="B5" s="73" t="s">
        <v>12</v>
      </c>
      <c r="C5" s="73" t="s">
        <v>13</v>
      </c>
      <c r="D5" s="73" t="s">
        <v>14</v>
      </c>
      <c r="E5" s="73" t="s">
        <v>15</v>
      </c>
      <c r="F5" s="2" t="s">
        <v>16</v>
      </c>
    </row>
    <row r="6" spans="1:6" ht="12.75">
      <c r="A6" s="74" t="s">
        <v>1</v>
      </c>
      <c r="B6" s="75"/>
      <c r="C6" s="76" t="s">
        <v>17</v>
      </c>
      <c r="D6" s="77">
        <f>SUM(D7:D14)</f>
        <v>95449461</v>
      </c>
      <c r="E6" s="77">
        <f>SUM(E7:E14)</f>
        <v>55371379</v>
      </c>
      <c r="F6" s="78">
        <f>E6/D6</f>
        <v>0.5801120134140936</v>
      </c>
    </row>
    <row r="7" spans="1:6" s="3" customFormat="1" ht="12.75">
      <c r="A7" s="237"/>
      <c r="B7" s="80" t="s">
        <v>4</v>
      </c>
      <c r="C7" s="81" t="s">
        <v>18</v>
      </c>
      <c r="D7" s="82">
        <v>10902000</v>
      </c>
      <c r="E7" s="82">
        <v>13447000</v>
      </c>
      <c r="F7" s="111">
        <f>E7/D7</f>
        <v>1.2334434048798386</v>
      </c>
    </row>
    <row r="8" spans="1:6" s="3" customFormat="1" ht="12.75">
      <c r="A8" s="238"/>
      <c r="B8" s="84" t="s">
        <v>19</v>
      </c>
      <c r="C8" s="85" t="s">
        <v>20</v>
      </c>
      <c r="D8" s="86">
        <v>20000</v>
      </c>
      <c r="E8" s="86">
        <v>20000</v>
      </c>
      <c r="F8" s="83">
        <f>E8/D8</f>
        <v>1</v>
      </c>
    </row>
    <row r="9" spans="1:6" s="3" customFormat="1" ht="12.75">
      <c r="A9" s="238"/>
      <c r="B9" s="84" t="s">
        <v>3</v>
      </c>
      <c r="C9" s="85" t="s">
        <v>83</v>
      </c>
      <c r="D9" s="86">
        <v>498168</v>
      </c>
      <c r="E9" s="86">
        <v>81800</v>
      </c>
      <c r="F9" s="83">
        <f aca="true" t="shared" si="0" ref="F9:F50">E9/D9</f>
        <v>0.16420163478987007</v>
      </c>
    </row>
    <row r="10" spans="1:6" s="3" customFormat="1" ht="12.75">
      <c r="A10" s="238"/>
      <c r="B10" s="84" t="s">
        <v>2</v>
      </c>
      <c r="C10" s="85" t="s">
        <v>21</v>
      </c>
      <c r="D10" s="86">
        <v>38252766</v>
      </c>
      <c r="E10" s="86">
        <v>29111579</v>
      </c>
      <c r="F10" s="83">
        <f t="shared" si="0"/>
        <v>0.7610319996206287</v>
      </c>
    </row>
    <row r="11" spans="1:6" s="3" customFormat="1" ht="12.75">
      <c r="A11" s="238"/>
      <c r="B11" s="80" t="s">
        <v>5</v>
      </c>
      <c r="C11" s="85" t="s">
        <v>22</v>
      </c>
      <c r="D11" s="86">
        <v>4824000</v>
      </c>
      <c r="E11" s="86">
        <v>5203000</v>
      </c>
      <c r="F11" s="83">
        <f t="shared" si="0"/>
        <v>1.0785655058043118</v>
      </c>
    </row>
    <row r="12" spans="1:6" s="3" customFormat="1" ht="12.75">
      <c r="A12" s="238"/>
      <c r="B12" s="80" t="s">
        <v>147</v>
      </c>
      <c r="C12" s="85" t="s">
        <v>148</v>
      </c>
      <c r="D12" s="86">
        <v>5620000</v>
      </c>
      <c r="E12" s="86">
        <v>5000000</v>
      </c>
      <c r="F12" s="83">
        <f t="shared" si="0"/>
        <v>0.8896797153024911</v>
      </c>
    </row>
    <row r="13" spans="1:6" s="3" customFormat="1" ht="12.75">
      <c r="A13" s="238"/>
      <c r="B13" s="80" t="s">
        <v>6</v>
      </c>
      <c r="C13" s="85" t="s">
        <v>23</v>
      </c>
      <c r="D13" s="86">
        <v>35322527</v>
      </c>
      <c r="E13" s="86">
        <v>2498000</v>
      </c>
      <c r="F13" s="83">
        <f t="shared" si="0"/>
        <v>0.07071974210678642</v>
      </c>
    </row>
    <row r="14" spans="1:6" s="3" customFormat="1" ht="12.75">
      <c r="A14" s="238"/>
      <c r="B14" s="80" t="s">
        <v>7</v>
      </c>
      <c r="C14" s="85" t="s">
        <v>24</v>
      </c>
      <c r="D14" s="86">
        <v>10000</v>
      </c>
      <c r="E14" s="86">
        <v>10000</v>
      </c>
      <c r="F14" s="83">
        <v>0</v>
      </c>
    </row>
    <row r="15" spans="1:6" s="5" customFormat="1" ht="12.75">
      <c r="A15" s="4" t="s">
        <v>8</v>
      </c>
      <c r="B15" s="87"/>
      <c r="C15" s="88" t="s">
        <v>25</v>
      </c>
      <c r="D15" s="77">
        <f>SUM(D16)</f>
        <v>475000</v>
      </c>
      <c r="E15" s="77">
        <f>SUM(E16)</f>
        <v>496000</v>
      </c>
      <c r="F15" s="78">
        <f>E15/D15</f>
        <v>1.0442105263157895</v>
      </c>
    </row>
    <row r="16" spans="1:6" s="3" customFormat="1" ht="25.5">
      <c r="A16" s="79"/>
      <c r="B16" s="80" t="s">
        <v>9</v>
      </c>
      <c r="C16" s="81" t="s">
        <v>26</v>
      </c>
      <c r="D16" s="82">
        <v>475000</v>
      </c>
      <c r="E16" s="82">
        <v>496000</v>
      </c>
      <c r="F16" s="83">
        <f t="shared" si="0"/>
        <v>1.0442105263157895</v>
      </c>
    </row>
    <row r="17" spans="1:6" ht="12.75">
      <c r="A17" s="6">
        <v>150</v>
      </c>
      <c r="B17" s="89"/>
      <c r="C17" s="90" t="s">
        <v>27</v>
      </c>
      <c r="D17" s="91">
        <f>SUM(D18:D20)</f>
        <v>276500</v>
      </c>
      <c r="E17" s="91">
        <v>0</v>
      </c>
      <c r="F17" s="78">
        <f>E17/D17</f>
        <v>0</v>
      </c>
    </row>
    <row r="18" spans="1:6" s="3" customFormat="1" ht="12.75">
      <c r="A18" s="228"/>
      <c r="B18" s="93">
        <v>15011</v>
      </c>
      <c r="C18" s="85" t="s">
        <v>28</v>
      </c>
      <c r="D18" s="86">
        <v>187292</v>
      </c>
      <c r="E18" s="86">
        <v>0</v>
      </c>
      <c r="F18" s="83">
        <f>E18/D18</f>
        <v>0</v>
      </c>
    </row>
    <row r="19" spans="1:6" s="3" customFormat="1" ht="12.75">
      <c r="A19" s="229"/>
      <c r="B19" s="94">
        <v>15013</v>
      </c>
      <c r="C19" s="85" t="s">
        <v>29</v>
      </c>
      <c r="D19" s="86">
        <v>69987</v>
      </c>
      <c r="E19" s="86">
        <v>0</v>
      </c>
      <c r="F19" s="83">
        <f>E19/D19</f>
        <v>0</v>
      </c>
    </row>
    <row r="20" spans="1:6" s="3" customFormat="1" ht="12.75">
      <c r="A20" s="229"/>
      <c r="B20" s="94">
        <v>15095</v>
      </c>
      <c r="C20" s="81" t="s">
        <v>24</v>
      </c>
      <c r="D20" s="82">
        <v>19221</v>
      </c>
      <c r="E20" s="82">
        <v>0</v>
      </c>
      <c r="F20" s="83">
        <f>E20/D20</f>
        <v>0</v>
      </c>
    </row>
    <row r="21" spans="1:6" ht="12.75">
      <c r="A21" s="10">
        <v>500</v>
      </c>
      <c r="B21" s="102"/>
      <c r="C21" s="102" t="s">
        <v>31</v>
      </c>
      <c r="D21" s="77">
        <f>SUM(D22)</f>
        <v>184280</v>
      </c>
      <c r="E21" s="77">
        <f>SUM(E22)</f>
        <v>284732</v>
      </c>
      <c r="F21" s="78">
        <f>E21/D21</f>
        <v>1.5451052745821576</v>
      </c>
    </row>
    <row r="22" spans="1:6" s="3" customFormat="1" ht="12.75">
      <c r="A22" s="92"/>
      <c r="B22" s="7">
        <v>50005</v>
      </c>
      <c r="C22" s="11" t="s">
        <v>32</v>
      </c>
      <c r="D22" s="86">
        <v>184280</v>
      </c>
      <c r="E22" s="86">
        <v>284732</v>
      </c>
      <c r="F22" s="83">
        <f t="shared" si="0"/>
        <v>1.5451052745821576</v>
      </c>
    </row>
    <row r="23" spans="1:6" ht="12.75">
      <c r="A23" s="10">
        <v>600</v>
      </c>
      <c r="B23" s="95"/>
      <c r="C23" s="76" t="s">
        <v>33</v>
      </c>
      <c r="D23" s="77">
        <f>SUM(D24:D30)</f>
        <v>116659483</v>
      </c>
      <c r="E23" s="77">
        <f>SUM(E24:E30)</f>
        <v>164875934</v>
      </c>
      <c r="F23" s="78">
        <f>E23/D23</f>
        <v>1.4133093149401321</v>
      </c>
    </row>
    <row r="24" spans="1:6" s="3" customFormat="1" ht="12.75">
      <c r="A24" s="228"/>
      <c r="B24" s="12">
        <v>60001</v>
      </c>
      <c r="C24" s="85" t="s">
        <v>34</v>
      </c>
      <c r="D24" s="86">
        <f>29996239-116225+200568+32520</f>
        <v>30113102</v>
      </c>
      <c r="E24" s="86">
        <v>17058286</v>
      </c>
      <c r="F24" s="83">
        <f t="shared" si="0"/>
        <v>0.5664738890068516</v>
      </c>
    </row>
    <row r="25" spans="1:6" s="3" customFormat="1" ht="12.75">
      <c r="A25" s="229"/>
      <c r="B25" s="96">
        <v>60003</v>
      </c>
      <c r="C25" s="81" t="s">
        <v>35</v>
      </c>
      <c r="D25" s="82">
        <v>52040487</v>
      </c>
      <c r="E25" s="82">
        <v>53861000</v>
      </c>
      <c r="F25" s="83">
        <f t="shared" si="0"/>
        <v>1.034982628044968</v>
      </c>
    </row>
    <row r="26" spans="1:6" s="3" customFormat="1" ht="12.75">
      <c r="A26" s="229"/>
      <c r="B26" s="12">
        <v>60004</v>
      </c>
      <c r="C26" s="85" t="s">
        <v>36</v>
      </c>
      <c r="D26" s="86">
        <f>150000+40000</f>
        <v>190000</v>
      </c>
      <c r="E26" s="86">
        <v>100000</v>
      </c>
      <c r="F26" s="83">
        <f t="shared" si="0"/>
        <v>0.5263157894736842</v>
      </c>
    </row>
    <row r="27" spans="1:6" s="3" customFormat="1" ht="12.75">
      <c r="A27" s="229"/>
      <c r="B27" s="94">
        <v>60013</v>
      </c>
      <c r="C27" s="85" t="s">
        <v>37</v>
      </c>
      <c r="D27" s="86">
        <f>27348777+1043927</f>
        <v>28392704</v>
      </c>
      <c r="E27" s="86">
        <v>93856648</v>
      </c>
      <c r="F27" s="83">
        <f t="shared" si="0"/>
        <v>3.305660778205556</v>
      </c>
    </row>
    <row r="28" spans="1:6" s="3" customFormat="1" ht="12.75">
      <c r="A28" s="229"/>
      <c r="B28" s="94">
        <v>60014</v>
      </c>
      <c r="C28" s="85" t="s">
        <v>149</v>
      </c>
      <c r="D28" s="86">
        <v>206282</v>
      </c>
      <c r="E28" s="86">
        <v>0</v>
      </c>
      <c r="F28" s="83">
        <f t="shared" si="0"/>
        <v>0</v>
      </c>
    </row>
    <row r="29" spans="1:6" s="3" customFormat="1" ht="12.75">
      <c r="A29" s="229"/>
      <c r="B29" s="94">
        <v>60016</v>
      </c>
      <c r="C29" s="85" t="s">
        <v>124</v>
      </c>
      <c r="D29" s="86">
        <v>66908</v>
      </c>
      <c r="E29" s="86">
        <v>0</v>
      </c>
      <c r="F29" s="83">
        <f t="shared" si="0"/>
        <v>0</v>
      </c>
    </row>
    <row r="30" spans="1:6" s="3" customFormat="1" ht="12.75">
      <c r="A30" s="229"/>
      <c r="B30" s="94">
        <v>60078</v>
      </c>
      <c r="C30" s="85" t="s">
        <v>130</v>
      </c>
      <c r="D30" s="86">
        <v>5650000</v>
      </c>
      <c r="E30" s="86">
        <v>0</v>
      </c>
      <c r="F30" s="83">
        <f t="shared" si="0"/>
        <v>0</v>
      </c>
    </row>
    <row r="31" spans="1:6" ht="12.75">
      <c r="A31" s="97">
        <v>700</v>
      </c>
      <c r="B31" s="6"/>
      <c r="C31" s="90" t="s">
        <v>38</v>
      </c>
      <c r="D31" s="91">
        <f>SUM(D32)</f>
        <v>7181516</v>
      </c>
      <c r="E31" s="91">
        <f>SUM(E32)</f>
        <v>19952162</v>
      </c>
      <c r="F31" s="78">
        <f>E31/D31</f>
        <v>2.7782660374216253</v>
      </c>
    </row>
    <row r="32" spans="1:6" s="3" customFormat="1" ht="12.75">
      <c r="A32" s="92"/>
      <c r="B32" s="94">
        <v>70005</v>
      </c>
      <c r="C32" s="85" t="s">
        <v>39</v>
      </c>
      <c r="D32" s="86">
        <f>5785013-310510+96773+1610240</f>
        <v>7181516</v>
      </c>
      <c r="E32" s="86">
        <v>19952162</v>
      </c>
      <c r="F32" s="83">
        <f t="shared" si="0"/>
        <v>2.7782660374216253</v>
      </c>
    </row>
    <row r="33" spans="1:6" ht="12.75">
      <c r="A33" s="97">
        <v>710</v>
      </c>
      <c r="B33" s="13"/>
      <c r="C33" s="90" t="s">
        <v>40</v>
      </c>
      <c r="D33" s="91">
        <f>SUM(D34:D39)</f>
        <v>6846011</v>
      </c>
      <c r="E33" s="91">
        <f>SUM(E34:E39)</f>
        <v>885000</v>
      </c>
      <c r="F33" s="78">
        <f>E33/D33</f>
        <v>0.12927236021093158</v>
      </c>
    </row>
    <row r="34" spans="1:6" s="3" customFormat="1" ht="12.75">
      <c r="A34" s="228"/>
      <c r="B34" s="94">
        <v>71003</v>
      </c>
      <c r="C34" s="85" t="s">
        <v>41</v>
      </c>
      <c r="D34" s="86">
        <v>39011</v>
      </c>
      <c r="E34" s="86">
        <v>30000</v>
      </c>
      <c r="F34" s="83">
        <f t="shared" si="0"/>
        <v>0.7690138678834175</v>
      </c>
    </row>
    <row r="35" spans="1:6" s="3" customFormat="1" ht="12.75">
      <c r="A35" s="229"/>
      <c r="B35" s="94">
        <v>71005</v>
      </c>
      <c r="C35" s="85" t="s">
        <v>154</v>
      </c>
      <c r="D35" s="86">
        <v>0</v>
      </c>
      <c r="E35" s="86">
        <v>7000</v>
      </c>
      <c r="F35" s="83">
        <v>0</v>
      </c>
    </row>
    <row r="36" spans="1:6" s="3" customFormat="1" ht="12.75">
      <c r="A36" s="229"/>
      <c r="B36" s="94">
        <v>71012</v>
      </c>
      <c r="C36" s="85" t="s">
        <v>42</v>
      </c>
      <c r="D36" s="86">
        <v>5830000</v>
      </c>
      <c r="E36" s="86">
        <v>321000</v>
      </c>
      <c r="F36" s="83">
        <f t="shared" si="0"/>
        <v>0.05506003430531732</v>
      </c>
    </row>
    <row r="37" spans="1:6" s="3" customFormat="1" ht="12.75">
      <c r="A37" s="229"/>
      <c r="B37" s="94">
        <v>71013</v>
      </c>
      <c r="C37" s="85" t="s">
        <v>43</v>
      </c>
      <c r="D37" s="86">
        <v>26000</v>
      </c>
      <c r="E37" s="86">
        <v>27000</v>
      </c>
      <c r="F37" s="83">
        <f t="shared" si="0"/>
        <v>1.0384615384615385</v>
      </c>
    </row>
    <row r="38" spans="1:6" s="3" customFormat="1" ht="12.75">
      <c r="A38" s="229"/>
      <c r="B38" s="94">
        <v>71078</v>
      </c>
      <c r="C38" s="85" t="s">
        <v>23</v>
      </c>
      <c r="D38" s="86">
        <v>760000</v>
      </c>
      <c r="E38" s="86">
        <v>0</v>
      </c>
      <c r="F38" s="83">
        <f t="shared" si="0"/>
        <v>0</v>
      </c>
    </row>
    <row r="39" spans="1:6" s="3" customFormat="1" ht="12.75">
      <c r="A39" s="229"/>
      <c r="B39" s="94">
        <v>71095</v>
      </c>
      <c r="C39" s="81" t="s">
        <v>24</v>
      </c>
      <c r="D39" s="82">
        <v>191000</v>
      </c>
      <c r="E39" s="82">
        <v>500000</v>
      </c>
      <c r="F39" s="83">
        <f t="shared" si="0"/>
        <v>2.6178010471204187</v>
      </c>
    </row>
    <row r="40" spans="1:6" s="5" customFormat="1" ht="12.75" customHeight="1">
      <c r="A40" s="10">
        <v>720</v>
      </c>
      <c r="B40" s="102"/>
      <c r="C40" s="55" t="s">
        <v>44</v>
      </c>
      <c r="D40" s="49">
        <f>SUM(D41)</f>
        <v>71250</v>
      </c>
      <c r="E40" s="49">
        <f>SUM(E41)</f>
        <v>15808337</v>
      </c>
      <c r="F40" s="108">
        <f t="shared" si="0"/>
        <v>221.87139649122807</v>
      </c>
    </row>
    <row r="41" spans="1:6" s="3" customFormat="1" ht="12.75">
      <c r="A41" s="92"/>
      <c r="B41" s="94">
        <v>72095</v>
      </c>
      <c r="C41" s="85" t="s">
        <v>24</v>
      </c>
      <c r="D41" s="86">
        <f>3589279-3063069-454960</f>
        <v>71250</v>
      </c>
      <c r="E41" s="86">
        <v>15808337</v>
      </c>
      <c r="F41" s="83">
        <f t="shared" si="0"/>
        <v>221.87139649122807</v>
      </c>
    </row>
    <row r="42" spans="1:23" s="5" customFormat="1" ht="12.75">
      <c r="A42" s="97">
        <v>730</v>
      </c>
      <c r="B42" s="6"/>
      <c r="C42" s="103" t="s">
        <v>45</v>
      </c>
      <c r="D42" s="104">
        <f>SUM(D43)</f>
        <v>1564</v>
      </c>
      <c r="E42" s="104">
        <f>SUM(E43)</f>
        <v>0</v>
      </c>
      <c r="F42" s="78">
        <f>E42/D42</f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6" s="3" customFormat="1" ht="12.75">
      <c r="A43" s="92"/>
      <c r="B43" s="94">
        <v>73095</v>
      </c>
      <c r="C43" s="85" t="s">
        <v>24</v>
      </c>
      <c r="D43" s="86">
        <v>1564</v>
      </c>
      <c r="E43" s="86">
        <v>0</v>
      </c>
      <c r="F43" s="83">
        <f>E43/D43</f>
        <v>0</v>
      </c>
    </row>
    <row r="44" spans="1:23" s="14" customFormat="1" ht="12.75">
      <c r="A44" s="98">
        <v>750</v>
      </c>
      <c r="B44" s="105"/>
      <c r="C44" s="90" t="s">
        <v>46</v>
      </c>
      <c r="D44" s="91">
        <f>SUM(D45:D50)</f>
        <v>2642012</v>
      </c>
      <c r="E44" s="91">
        <f>SUM(E45:E50)</f>
        <v>3754579</v>
      </c>
      <c r="F44" s="78">
        <f>E44/D44</f>
        <v>1.4211059601546094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6" s="3" customFormat="1" ht="12.75">
      <c r="A45" s="228"/>
      <c r="B45" s="96">
        <v>75001</v>
      </c>
      <c r="C45" s="81" t="s">
        <v>131</v>
      </c>
      <c r="D45" s="82">
        <v>974798</v>
      </c>
      <c r="E45" s="82">
        <v>984714</v>
      </c>
      <c r="F45" s="83">
        <f t="shared" si="0"/>
        <v>1.0101723639153959</v>
      </c>
    </row>
    <row r="46" spans="1:6" s="3" customFormat="1" ht="12.75">
      <c r="A46" s="229"/>
      <c r="B46" s="94">
        <v>75011</v>
      </c>
      <c r="C46" s="85" t="s">
        <v>47</v>
      </c>
      <c r="D46" s="86">
        <v>692000</v>
      </c>
      <c r="E46" s="86">
        <v>695000</v>
      </c>
      <c r="F46" s="83">
        <f t="shared" si="0"/>
        <v>1.004335260115607</v>
      </c>
    </row>
    <row r="47" spans="1:6" s="3" customFormat="1" ht="12.75">
      <c r="A47" s="229"/>
      <c r="B47" s="94">
        <v>75018</v>
      </c>
      <c r="C47" s="85" t="s">
        <v>48</v>
      </c>
      <c r="D47" s="86">
        <v>259089</v>
      </c>
      <c r="E47" s="86">
        <v>258000</v>
      </c>
      <c r="F47" s="83">
        <f t="shared" si="0"/>
        <v>0.9957968111343979</v>
      </c>
    </row>
    <row r="48" spans="1:6" s="3" customFormat="1" ht="12.75">
      <c r="A48" s="229"/>
      <c r="B48" s="94">
        <v>75046</v>
      </c>
      <c r="C48" s="85" t="s">
        <v>49</v>
      </c>
      <c r="D48" s="86">
        <v>66474</v>
      </c>
      <c r="E48" s="86">
        <v>68474</v>
      </c>
      <c r="F48" s="83">
        <f t="shared" si="0"/>
        <v>1.030086951289226</v>
      </c>
    </row>
    <row r="49" spans="1:6" s="3" customFormat="1" ht="12.75">
      <c r="A49" s="229"/>
      <c r="B49" s="94">
        <v>75071</v>
      </c>
      <c r="C49" s="81" t="s">
        <v>50</v>
      </c>
      <c r="D49" s="82">
        <v>351171</v>
      </c>
      <c r="E49" s="82">
        <v>393111</v>
      </c>
      <c r="F49" s="83">
        <f t="shared" si="0"/>
        <v>1.1194289961300905</v>
      </c>
    </row>
    <row r="50" spans="1:6" s="3" customFormat="1" ht="12.75">
      <c r="A50" s="230"/>
      <c r="B50" s="12">
        <v>75095</v>
      </c>
      <c r="C50" s="85" t="s">
        <v>24</v>
      </c>
      <c r="D50" s="86">
        <v>298480</v>
      </c>
      <c r="E50" s="86">
        <v>1355280</v>
      </c>
      <c r="F50" s="83">
        <f t="shared" si="0"/>
        <v>4.540605735727687</v>
      </c>
    </row>
    <row r="51" spans="1:23" ht="12.75" customHeight="1">
      <c r="A51" s="10">
        <v>752</v>
      </c>
      <c r="B51" s="55"/>
      <c r="C51" s="103" t="s">
        <v>125</v>
      </c>
      <c r="D51" s="77">
        <f>SUM(D52)</f>
        <v>0</v>
      </c>
      <c r="E51" s="77">
        <f>SUM(E52)</f>
        <v>4000</v>
      </c>
      <c r="F51" s="78">
        <v>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6" s="3" customFormat="1" ht="12.75">
      <c r="A52" s="92"/>
      <c r="B52" s="7">
        <v>75212</v>
      </c>
      <c r="C52" s="8" t="s">
        <v>126</v>
      </c>
      <c r="D52" s="9">
        <v>0</v>
      </c>
      <c r="E52" s="9">
        <v>4000</v>
      </c>
      <c r="F52" s="83">
        <v>0</v>
      </c>
    </row>
    <row r="53" spans="1:6" s="3" customFormat="1" ht="12.75">
      <c r="A53" s="10">
        <v>754</v>
      </c>
      <c r="B53" s="109"/>
      <c r="C53" s="103" t="s">
        <v>92</v>
      </c>
      <c r="D53" s="77">
        <f>SUM(D54)</f>
        <v>420000</v>
      </c>
      <c r="E53" s="77">
        <f>SUM(E54)</f>
        <v>0</v>
      </c>
      <c r="F53" s="110">
        <f aca="true" t="shared" si="1" ref="F53:F58">E53/D53</f>
        <v>0</v>
      </c>
    </row>
    <row r="54" spans="1:6" s="3" customFormat="1" ht="12.75">
      <c r="A54" s="107"/>
      <c r="B54" s="7">
        <v>75495</v>
      </c>
      <c r="C54" s="8" t="s">
        <v>24</v>
      </c>
      <c r="D54" s="82">
        <v>420000</v>
      </c>
      <c r="E54" s="82">
        <v>0</v>
      </c>
      <c r="F54" s="83">
        <f t="shared" si="1"/>
        <v>0</v>
      </c>
    </row>
    <row r="55" spans="1:23" ht="38.25">
      <c r="A55" s="97">
        <v>756</v>
      </c>
      <c r="B55" s="13"/>
      <c r="C55" s="15" t="s">
        <v>132</v>
      </c>
      <c r="D55" s="91">
        <f>SUM(D56:D57)</f>
        <v>155855227</v>
      </c>
      <c r="E55" s="91">
        <f>SUM(E56:E57)</f>
        <v>153741972</v>
      </c>
      <c r="F55" s="78">
        <f t="shared" si="1"/>
        <v>0.9864409103199343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6" s="3" customFormat="1" ht="25.5">
      <c r="A56" s="228"/>
      <c r="B56" s="94">
        <v>75618</v>
      </c>
      <c r="C56" s="85" t="s">
        <v>133</v>
      </c>
      <c r="D56" s="86">
        <v>1034700</v>
      </c>
      <c r="E56" s="86">
        <v>389850</v>
      </c>
      <c r="F56" s="83">
        <f t="shared" si="1"/>
        <v>0.37677587706581617</v>
      </c>
    </row>
    <row r="57" spans="1:6" s="3" customFormat="1" ht="12.75">
      <c r="A57" s="229"/>
      <c r="B57" s="12">
        <v>75623</v>
      </c>
      <c r="C57" s="11" t="s">
        <v>134</v>
      </c>
      <c r="D57" s="86">
        <f>147820527+7000000</f>
        <v>154820527</v>
      </c>
      <c r="E57" s="86">
        <v>153352122</v>
      </c>
      <c r="F57" s="83">
        <f t="shared" si="1"/>
        <v>0.9905154372714414</v>
      </c>
    </row>
    <row r="58" spans="1:23" ht="12.75">
      <c r="A58" s="6">
        <v>758</v>
      </c>
      <c r="B58" s="6"/>
      <c r="C58" s="16" t="s">
        <v>52</v>
      </c>
      <c r="D58" s="17">
        <f>SUM(D59:D65)</f>
        <v>571586401</v>
      </c>
      <c r="E58" s="17">
        <f>SUM(E59:E65)</f>
        <v>690296164</v>
      </c>
      <c r="F58" s="78">
        <f t="shared" si="1"/>
        <v>1.2076847223662341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6" s="3" customFormat="1" ht="12.75">
      <c r="A59" s="228"/>
      <c r="B59" s="12">
        <v>75801</v>
      </c>
      <c r="C59" s="18" t="s">
        <v>135</v>
      </c>
      <c r="D59" s="19">
        <v>47171660</v>
      </c>
      <c r="E59" s="19">
        <v>50147941</v>
      </c>
      <c r="F59" s="83">
        <f aca="true" t="shared" si="2" ref="F59:F65">E59/D59</f>
        <v>1.0630946843931293</v>
      </c>
    </row>
    <row r="60" spans="1:6" s="3" customFormat="1" ht="12.75">
      <c r="A60" s="229"/>
      <c r="B60" s="12">
        <v>75802</v>
      </c>
      <c r="C60" s="18" t="s">
        <v>136</v>
      </c>
      <c r="D60" s="19">
        <v>4800000</v>
      </c>
      <c r="E60" s="19">
        <v>0</v>
      </c>
      <c r="F60" s="83">
        <f t="shared" si="2"/>
        <v>0</v>
      </c>
    </row>
    <row r="61" spans="1:6" s="3" customFormat="1" ht="12.75">
      <c r="A61" s="229"/>
      <c r="B61" s="12">
        <v>75804</v>
      </c>
      <c r="C61" s="18" t="s">
        <v>137</v>
      </c>
      <c r="D61" s="19">
        <v>136521065</v>
      </c>
      <c r="E61" s="19">
        <v>127134179</v>
      </c>
      <c r="F61" s="83">
        <f t="shared" si="2"/>
        <v>0.9312422152581362</v>
      </c>
    </row>
    <row r="62" spans="1:6" s="3" customFormat="1" ht="12.75">
      <c r="A62" s="229"/>
      <c r="B62" s="12">
        <v>75814</v>
      </c>
      <c r="C62" s="18" t="s">
        <v>138</v>
      </c>
      <c r="D62" s="19">
        <f>1300000+1000000</f>
        <v>2300000</v>
      </c>
      <c r="E62" s="19">
        <v>1300000</v>
      </c>
      <c r="F62" s="83">
        <f t="shared" si="2"/>
        <v>0.5652173913043478</v>
      </c>
    </row>
    <row r="63" spans="1:6" s="3" customFormat="1" ht="12.75">
      <c r="A63" s="229"/>
      <c r="B63" s="12">
        <v>75833</v>
      </c>
      <c r="C63" s="18" t="s">
        <v>139</v>
      </c>
      <c r="D63" s="19">
        <v>104752729</v>
      </c>
      <c r="E63" s="19">
        <v>101564904</v>
      </c>
      <c r="F63" s="83">
        <f t="shared" si="2"/>
        <v>0.9695680959299876</v>
      </c>
    </row>
    <row r="64" spans="1:6" s="3" customFormat="1" ht="12.75">
      <c r="A64" s="229"/>
      <c r="B64" s="12">
        <v>75861</v>
      </c>
      <c r="C64" s="18" t="s">
        <v>140</v>
      </c>
      <c r="D64" s="19">
        <f>210403587-392826-188526-2719553-58499</f>
        <v>207044183</v>
      </c>
      <c r="E64" s="19">
        <v>358944495</v>
      </c>
      <c r="F64" s="83">
        <f t="shared" si="2"/>
        <v>1.733661336430785</v>
      </c>
    </row>
    <row r="65" spans="1:6" s="3" customFormat="1" ht="12.75">
      <c r="A65" s="229"/>
      <c r="B65" s="20">
        <v>75862</v>
      </c>
      <c r="C65" s="21" t="s">
        <v>141</v>
      </c>
      <c r="D65" s="22">
        <f>70143004-551340+5100-600000</f>
        <v>68996764</v>
      </c>
      <c r="E65" s="22">
        <v>51204645</v>
      </c>
      <c r="F65" s="83">
        <f t="shared" si="2"/>
        <v>0.7421311092212962</v>
      </c>
    </row>
    <row r="66" spans="1:23" s="26" customFormat="1" ht="12.75">
      <c r="A66" s="6">
        <v>801</v>
      </c>
      <c r="B66" s="23"/>
      <c r="C66" s="24" t="s">
        <v>53</v>
      </c>
      <c r="D66" s="25">
        <f>SUM(D67:D73)</f>
        <v>1198710</v>
      </c>
      <c r="E66" s="25">
        <f>SUM(E67:E73)</f>
        <v>1433277</v>
      </c>
      <c r="F66" s="78">
        <f aca="true" t="shared" si="3" ref="F66:F108">E66/D66</f>
        <v>1.195682859073504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6" s="3" customFormat="1" ht="12.75">
      <c r="A67" s="234"/>
      <c r="B67" s="20">
        <v>80102</v>
      </c>
      <c r="C67" s="21" t="s">
        <v>98</v>
      </c>
      <c r="D67" s="22">
        <v>0</v>
      </c>
      <c r="E67" s="22">
        <v>1045</v>
      </c>
      <c r="F67" s="111">
        <v>0</v>
      </c>
    </row>
    <row r="68" spans="1:23" s="26" customFormat="1" ht="12.75">
      <c r="A68" s="235"/>
      <c r="B68" s="27">
        <v>80130</v>
      </c>
      <c r="C68" s="30" t="s">
        <v>101</v>
      </c>
      <c r="D68" s="29">
        <v>14958</v>
      </c>
      <c r="E68" s="29">
        <v>1148149</v>
      </c>
      <c r="F68" s="111">
        <f t="shared" si="3"/>
        <v>76.75818959753978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s="26" customFormat="1" ht="12.75">
      <c r="A69" s="235"/>
      <c r="B69" s="27">
        <v>80131</v>
      </c>
      <c r="C69" s="30" t="s">
        <v>150</v>
      </c>
      <c r="D69" s="29">
        <v>35421</v>
      </c>
      <c r="E69" s="29">
        <v>0</v>
      </c>
      <c r="F69" s="111">
        <f t="shared" si="3"/>
        <v>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6" s="3" customFormat="1" ht="12.75">
      <c r="A70" s="235"/>
      <c r="B70" s="27">
        <v>80141</v>
      </c>
      <c r="C70" s="28" t="s">
        <v>54</v>
      </c>
      <c r="D70" s="29">
        <v>5301</v>
      </c>
      <c r="E70" s="29">
        <v>8638</v>
      </c>
      <c r="F70" s="83">
        <f t="shared" si="3"/>
        <v>1.629503867194869</v>
      </c>
    </row>
    <row r="71" spans="1:6" s="3" customFormat="1" ht="12.75">
      <c r="A71" s="235"/>
      <c r="B71" s="27">
        <v>80146</v>
      </c>
      <c r="C71" s="28" t="s">
        <v>55</v>
      </c>
      <c r="D71" s="29">
        <v>1056361</v>
      </c>
      <c r="E71" s="29">
        <v>235290</v>
      </c>
      <c r="F71" s="83">
        <f t="shared" si="3"/>
        <v>0.2227363562267066</v>
      </c>
    </row>
    <row r="72" spans="1:6" s="3" customFormat="1" ht="12.75">
      <c r="A72" s="235"/>
      <c r="B72" s="27">
        <v>80147</v>
      </c>
      <c r="C72" s="28" t="s">
        <v>56</v>
      </c>
      <c r="D72" s="29">
        <v>15512</v>
      </c>
      <c r="E72" s="29">
        <v>40155</v>
      </c>
      <c r="F72" s="83">
        <f t="shared" si="3"/>
        <v>2.5886410520887053</v>
      </c>
    </row>
    <row r="73" spans="1:6" s="3" customFormat="1" ht="12.75">
      <c r="A73" s="236"/>
      <c r="B73" s="27">
        <v>80195</v>
      </c>
      <c r="C73" s="28" t="s">
        <v>24</v>
      </c>
      <c r="D73" s="29">
        <v>71157</v>
      </c>
      <c r="E73" s="29">
        <v>0</v>
      </c>
      <c r="F73" s="83">
        <f t="shared" si="3"/>
        <v>0</v>
      </c>
    </row>
    <row r="74" spans="1:6" s="3" customFormat="1" ht="12.75">
      <c r="A74" s="95">
        <v>803</v>
      </c>
      <c r="B74" s="33"/>
      <c r="C74" s="37" t="s">
        <v>103</v>
      </c>
      <c r="D74" s="35">
        <f>SUM(D75)</f>
        <v>222</v>
      </c>
      <c r="E74" s="35">
        <f>SUM(E75)</f>
        <v>0</v>
      </c>
      <c r="F74" s="110">
        <f t="shared" si="3"/>
        <v>0</v>
      </c>
    </row>
    <row r="75" spans="1:6" s="3" customFormat="1" ht="12.75">
      <c r="A75" s="112"/>
      <c r="B75" s="27">
        <v>80309</v>
      </c>
      <c r="C75" s="28" t="s">
        <v>151</v>
      </c>
      <c r="D75" s="29">
        <v>222</v>
      </c>
      <c r="E75" s="29">
        <v>0</v>
      </c>
      <c r="F75" s="83">
        <f t="shared" si="3"/>
        <v>0</v>
      </c>
    </row>
    <row r="76" spans="1:23" s="26" customFormat="1" ht="12.75">
      <c r="A76" s="6">
        <v>851</v>
      </c>
      <c r="B76" s="23"/>
      <c r="C76" s="24" t="s">
        <v>57</v>
      </c>
      <c r="D76" s="25">
        <f>SUM(D77:D79)</f>
        <v>2721474</v>
      </c>
      <c r="E76" s="25">
        <f>SUM(E77:E79)</f>
        <v>113000</v>
      </c>
      <c r="F76" s="78">
        <f t="shared" si="3"/>
        <v>0.04152161659453664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26" customFormat="1" ht="12.75">
      <c r="A77" s="234"/>
      <c r="B77" s="27">
        <v>85111</v>
      </c>
      <c r="C77" s="30" t="s">
        <v>105</v>
      </c>
      <c r="D77" s="29">
        <v>2495447</v>
      </c>
      <c r="E77" s="29">
        <v>0</v>
      </c>
      <c r="F77" s="111">
        <f t="shared" si="3"/>
        <v>0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6" s="3" customFormat="1" ht="12.75">
      <c r="A78" s="235"/>
      <c r="B78" s="20">
        <v>85141</v>
      </c>
      <c r="C78" s="21" t="s">
        <v>58</v>
      </c>
      <c r="D78" s="22">
        <v>200000</v>
      </c>
      <c r="E78" s="22">
        <v>100000</v>
      </c>
      <c r="F78" s="83">
        <f t="shared" si="3"/>
        <v>0.5</v>
      </c>
    </row>
    <row r="79" spans="1:6" s="3" customFormat="1" ht="25.5">
      <c r="A79" s="236"/>
      <c r="B79" s="20">
        <v>85156</v>
      </c>
      <c r="C79" s="21" t="s">
        <v>59</v>
      </c>
      <c r="D79" s="22">
        <v>26027</v>
      </c>
      <c r="E79" s="22">
        <v>13000</v>
      </c>
      <c r="F79" s="83">
        <f t="shared" si="3"/>
        <v>0.49948130787259387</v>
      </c>
    </row>
    <row r="80" spans="1:23" s="26" customFormat="1" ht="12.75">
      <c r="A80" s="6">
        <v>852</v>
      </c>
      <c r="B80" s="23"/>
      <c r="C80" s="24" t="s">
        <v>60</v>
      </c>
      <c r="D80" s="25">
        <f>SUM(D81:D85)</f>
        <v>1228180</v>
      </c>
      <c r="E80" s="25">
        <f>SUM(E81:E85)</f>
        <v>5245996</v>
      </c>
      <c r="F80" s="78">
        <f t="shared" si="3"/>
        <v>4.271357618590109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6" s="3" customFormat="1" ht="12.75">
      <c r="A81" s="234"/>
      <c r="B81" s="20">
        <v>85205</v>
      </c>
      <c r="C81" s="21" t="s">
        <v>152</v>
      </c>
      <c r="D81" s="22">
        <v>15000</v>
      </c>
      <c r="E81" s="22">
        <v>0</v>
      </c>
      <c r="F81" s="111">
        <f t="shared" si="3"/>
        <v>0</v>
      </c>
    </row>
    <row r="82" spans="1:6" s="3" customFormat="1" ht="25.5">
      <c r="A82" s="235"/>
      <c r="B82" s="20">
        <v>85212</v>
      </c>
      <c r="C82" s="21" t="s">
        <v>61</v>
      </c>
      <c r="D82" s="22">
        <v>1050000</v>
      </c>
      <c r="E82" s="22">
        <v>1045000</v>
      </c>
      <c r="F82" s="83">
        <f t="shared" si="3"/>
        <v>0.9952380952380953</v>
      </c>
    </row>
    <row r="83" spans="1:6" s="3" customFormat="1" ht="12.75">
      <c r="A83" s="235"/>
      <c r="B83" s="20">
        <v>85218</v>
      </c>
      <c r="C83" s="21" t="s">
        <v>63</v>
      </c>
      <c r="D83" s="22">
        <v>3031</v>
      </c>
      <c r="E83" s="22">
        <v>0</v>
      </c>
      <c r="F83" s="83">
        <f t="shared" si="3"/>
        <v>0</v>
      </c>
    </row>
    <row r="84" spans="1:6" s="3" customFormat="1" ht="12.75">
      <c r="A84" s="235"/>
      <c r="B84" s="20">
        <v>85219</v>
      </c>
      <c r="C84" s="21" t="s">
        <v>112</v>
      </c>
      <c r="D84" s="22">
        <v>23871</v>
      </c>
      <c r="E84" s="22">
        <v>0</v>
      </c>
      <c r="F84" s="83">
        <f t="shared" si="3"/>
        <v>0</v>
      </c>
    </row>
    <row r="85" spans="1:6" s="3" customFormat="1" ht="12.75">
      <c r="A85" s="236"/>
      <c r="B85" s="20">
        <v>85295</v>
      </c>
      <c r="C85" s="21" t="s">
        <v>24</v>
      </c>
      <c r="D85" s="22">
        <v>136278</v>
      </c>
      <c r="E85" s="22">
        <v>4200996</v>
      </c>
      <c r="F85" s="83">
        <f t="shared" si="3"/>
        <v>30.826663144454717</v>
      </c>
    </row>
    <row r="86" spans="1:23" s="26" customFormat="1" ht="12.75">
      <c r="A86" s="6">
        <v>853</v>
      </c>
      <c r="B86" s="23"/>
      <c r="C86" s="24" t="s">
        <v>64</v>
      </c>
      <c r="D86" s="25">
        <f>SUM(D87:D88)</f>
        <v>12820750</v>
      </c>
      <c r="E86" s="25">
        <f>SUM(E87:E88)</f>
        <v>13942996</v>
      </c>
      <c r="F86" s="78">
        <f t="shared" si="3"/>
        <v>1.0875335686289804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6" s="3" customFormat="1" ht="12.75">
      <c r="A87" s="229"/>
      <c r="B87" s="20">
        <v>85332</v>
      </c>
      <c r="C87" s="21" t="s">
        <v>113</v>
      </c>
      <c r="D87" s="22">
        <f>12944905-138594+4838</f>
        <v>12811149</v>
      </c>
      <c r="E87" s="22">
        <v>13942996</v>
      </c>
      <c r="F87" s="83">
        <f t="shared" si="3"/>
        <v>1.0883485938692932</v>
      </c>
    </row>
    <row r="88" spans="1:6" s="3" customFormat="1" ht="12.75">
      <c r="A88" s="230"/>
      <c r="B88" s="20">
        <v>85395</v>
      </c>
      <c r="C88" s="21" t="s">
        <v>24</v>
      </c>
      <c r="D88" s="22">
        <v>9601</v>
      </c>
      <c r="E88" s="22">
        <v>0</v>
      </c>
      <c r="F88" s="83">
        <f t="shared" si="3"/>
        <v>0</v>
      </c>
    </row>
    <row r="89" spans="1:23" s="26" customFormat="1" ht="12.75">
      <c r="A89" s="6">
        <v>854</v>
      </c>
      <c r="B89" s="23"/>
      <c r="C89" s="24" t="s">
        <v>66</v>
      </c>
      <c r="D89" s="25">
        <f>SUM(D90:D91)</f>
        <v>342751</v>
      </c>
      <c r="E89" s="25">
        <f>SUM(E90:E91)</f>
        <v>0</v>
      </c>
      <c r="F89" s="78">
        <f t="shared" si="3"/>
        <v>0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6" s="3" customFormat="1" ht="12.75">
      <c r="A90" s="228"/>
      <c r="B90" s="20">
        <v>85415</v>
      </c>
      <c r="C90" s="21" t="s">
        <v>115</v>
      </c>
      <c r="D90" s="22">
        <v>202904</v>
      </c>
      <c r="E90" s="22">
        <v>0</v>
      </c>
      <c r="F90" s="83">
        <f t="shared" si="3"/>
        <v>0</v>
      </c>
    </row>
    <row r="91" spans="1:6" s="3" customFormat="1" ht="12.75">
      <c r="A91" s="229"/>
      <c r="B91" s="20">
        <v>85495</v>
      </c>
      <c r="C91" s="21" t="s">
        <v>24</v>
      </c>
      <c r="D91" s="22">
        <v>139847</v>
      </c>
      <c r="E91" s="22">
        <v>0</v>
      </c>
      <c r="F91" s="83">
        <f t="shared" si="3"/>
        <v>0</v>
      </c>
    </row>
    <row r="92" spans="1:23" s="26" customFormat="1" ht="12.75">
      <c r="A92" s="6">
        <v>900</v>
      </c>
      <c r="B92" s="23"/>
      <c r="C92" s="24" t="s">
        <v>67</v>
      </c>
      <c r="D92" s="25">
        <f>SUM(D93:D97)</f>
        <v>1064235</v>
      </c>
      <c r="E92" s="25">
        <f>SUM(E93:E97)</f>
        <v>20000</v>
      </c>
      <c r="F92" s="78">
        <f t="shared" si="3"/>
        <v>0.018792841806555882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6" s="3" customFormat="1" ht="12.75">
      <c r="A93" s="228"/>
      <c r="B93" s="20">
        <v>90001</v>
      </c>
      <c r="C93" s="21" t="s">
        <v>153</v>
      </c>
      <c r="D93" s="22">
        <f>61563+791672</f>
        <v>853235</v>
      </c>
      <c r="E93" s="22">
        <v>0</v>
      </c>
      <c r="F93" s="111">
        <f t="shared" si="3"/>
        <v>0</v>
      </c>
    </row>
    <row r="94" spans="1:6" s="3" customFormat="1" ht="12.75">
      <c r="A94" s="229"/>
      <c r="B94" s="20">
        <v>90005</v>
      </c>
      <c r="C94" s="21" t="s">
        <v>118</v>
      </c>
      <c r="D94" s="22">
        <v>109000</v>
      </c>
      <c r="E94" s="22">
        <v>0</v>
      </c>
      <c r="F94" s="111">
        <f t="shared" si="3"/>
        <v>0</v>
      </c>
    </row>
    <row r="95" spans="1:23" s="32" customFormat="1" ht="12.75">
      <c r="A95" s="229"/>
      <c r="B95" s="27">
        <v>90007</v>
      </c>
      <c r="C95" s="30" t="s">
        <v>68</v>
      </c>
      <c r="D95" s="31">
        <v>84000</v>
      </c>
      <c r="E95" s="22">
        <v>0</v>
      </c>
      <c r="F95" s="83">
        <f t="shared" si="3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6" s="3" customFormat="1" ht="25.5">
      <c r="A96" s="229"/>
      <c r="B96" s="20">
        <v>90019</v>
      </c>
      <c r="C96" s="21" t="s">
        <v>69</v>
      </c>
      <c r="D96" s="22">
        <v>10000</v>
      </c>
      <c r="E96" s="22">
        <v>10000</v>
      </c>
      <c r="F96" s="83">
        <f t="shared" si="3"/>
        <v>1</v>
      </c>
    </row>
    <row r="97" spans="1:6" s="3" customFormat="1" ht="12.75">
      <c r="A97" s="230"/>
      <c r="B97" s="20">
        <v>90020</v>
      </c>
      <c r="C97" s="21" t="s">
        <v>70</v>
      </c>
      <c r="D97" s="22">
        <v>8000</v>
      </c>
      <c r="E97" s="22">
        <v>10000</v>
      </c>
      <c r="F97" s="83">
        <f t="shared" si="3"/>
        <v>1.25</v>
      </c>
    </row>
    <row r="98" spans="1:23" s="26" customFormat="1" ht="12.75">
      <c r="A98" s="10">
        <v>921</v>
      </c>
      <c r="B98" s="33"/>
      <c r="C98" s="34" t="s">
        <v>71</v>
      </c>
      <c r="D98" s="35">
        <f>SUM(D99:D105)</f>
        <v>4815054</v>
      </c>
      <c r="E98" s="35">
        <f>SUM(E99:E105)</f>
        <v>2948110</v>
      </c>
      <c r="F98" s="78">
        <f t="shared" si="3"/>
        <v>0.6122693535731895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6" s="3" customFormat="1" ht="12.75">
      <c r="A99" s="228"/>
      <c r="B99" s="20">
        <v>92106</v>
      </c>
      <c r="C99" s="21" t="s">
        <v>72</v>
      </c>
      <c r="D99" s="22">
        <v>40000</v>
      </c>
      <c r="E99" s="22">
        <v>0</v>
      </c>
      <c r="F99" s="83">
        <f t="shared" si="3"/>
        <v>0</v>
      </c>
    </row>
    <row r="100" spans="1:6" s="3" customFormat="1" ht="12.75">
      <c r="A100" s="229"/>
      <c r="B100" s="20">
        <v>92108</v>
      </c>
      <c r="C100" s="21" t="s">
        <v>73</v>
      </c>
      <c r="D100" s="22">
        <v>115000</v>
      </c>
      <c r="E100" s="22">
        <v>0</v>
      </c>
      <c r="F100" s="83">
        <f t="shared" si="3"/>
        <v>0</v>
      </c>
    </row>
    <row r="101" spans="1:6" s="3" customFormat="1" ht="12.75">
      <c r="A101" s="229"/>
      <c r="B101" s="20">
        <v>92109</v>
      </c>
      <c r="C101" s="21" t="s">
        <v>74</v>
      </c>
      <c r="D101" s="22">
        <f>16014+381413</f>
        <v>397427</v>
      </c>
      <c r="E101" s="22">
        <v>0</v>
      </c>
      <c r="F101" s="83">
        <f t="shared" si="3"/>
        <v>0</v>
      </c>
    </row>
    <row r="102" spans="1:6" s="3" customFormat="1" ht="12.75">
      <c r="A102" s="229"/>
      <c r="B102" s="20">
        <v>92114</v>
      </c>
      <c r="C102" s="21" t="s">
        <v>76</v>
      </c>
      <c r="D102" s="22">
        <v>40440</v>
      </c>
      <c r="E102" s="22">
        <v>0</v>
      </c>
      <c r="F102" s="83">
        <f t="shared" si="3"/>
        <v>0</v>
      </c>
    </row>
    <row r="103" spans="1:6" s="3" customFormat="1" ht="12.75">
      <c r="A103" s="229"/>
      <c r="B103" s="20">
        <v>92116</v>
      </c>
      <c r="C103" s="21" t="s">
        <v>77</v>
      </c>
      <c r="D103" s="22">
        <f>2948110+52378</f>
        <v>3000488</v>
      </c>
      <c r="E103" s="22">
        <v>2948110</v>
      </c>
      <c r="F103" s="83">
        <f t="shared" si="3"/>
        <v>0.9825435062563156</v>
      </c>
    </row>
    <row r="104" spans="1:6" s="3" customFormat="1" ht="12.75">
      <c r="A104" s="229"/>
      <c r="B104" s="20">
        <v>92118</v>
      </c>
      <c r="C104" s="21" t="s">
        <v>78</v>
      </c>
      <c r="D104" s="22">
        <f>97062+556697</f>
        <v>653759</v>
      </c>
      <c r="E104" s="22">
        <v>0</v>
      </c>
      <c r="F104" s="83">
        <f t="shared" si="3"/>
        <v>0</v>
      </c>
    </row>
    <row r="105" spans="1:6" s="3" customFormat="1" ht="12.75">
      <c r="A105" s="230"/>
      <c r="B105" s="20">
        <v>92178</v>
      </c>
      <c r="C105" s="21" t="s">
        <v>130</v>
      </c>
      <c r="D105" s="22">
        <v>567940</v>
      </c>
      <c r="E105" s="22">
        <v>0</v>
      </c>
      <c r="F105" s="83">
        <f t="shared" si="3"/>
        <v>0</v>
      </c>
    </row>
    <row r="106" spans="1:23" s="26" customFormat="1" ht="25.5">
      <c r="A106" s="6">
        <v>925</v>
      </c>
      <c r="B106" s="36"/>
      <c r="C106" s="37" t="s">
        <v>80</v>
      </c>
      <c r="D106" s="35">
        <f>SUM(D107)</f>
        <v>752000</v>
      </c>
      <c r="E106" s="35">
        <f>SUM(E107)</f>
        <v>766000</v>
      </c>
      <c r="F106" s="78">
        <f t="shared" si="3"/>
        <v>1.0186170212765957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6" s="3" customFormat="1" ht="12.75">
      <c r="A107" s="92"/>
      <c r="B107" s="27">
        <v>92502</v>
      </c>
      <c r="C107" s="28" t="s">
        <v>81</v>
      </c>
      <c r="D107" s="29">
        <v>752000</v>
      </c>
      <c r="E107" s="29">
        <v>766000</v>
      </c>
      <c r="F107" s="83">
        <f t="shared" si="3"/>
        <v>1.0186170212765957</v>
      </c>
    </row>
    <row r="108" spans="1:23" ht="27.75" customHeight="1">
      <c r="A108" s="231" t="s">
        <v>142</v>
      </c>
      <c r="B108" s="232"/>
      <c r="C108" s="233"/>
      <c r="D108" s="99">
        <f>SUM(D106,D98,D92,D89,D86,D80,D76,D74,D66,D58,D55,D53,D51,D44,D42,D40,D33,D31,D23,D21,D17,D15,D6)</f>
        <v>982592081</v>
      </c>
      <c r="E108" s="99">
        <f>SUM(E106,E98,E92,E89,E86,E80,E76,E74,E66,E58,E55,E53,E51,E44,E42,E40,E33,E31,E23,E21,E17,E15,E6)</f>
        <v>1129939638</v>
      </c>
      <c r="F108" s="100">
        <f t="shared" si="3"/>
        <v>1.149958013960424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7:23" ht="12.75"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5:23" ht="12.75">
      <c r="E110" s="40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3:23" ht="12.75">
      <c r="C111" s="42"/>
      <c r="D111" s="42"/>
      <c r="E111" s="101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3:23" ht="12.75">
      <c r="C112" s="42"/>
      <c r="D112" s="42"/>
      <c r="E112" s="101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3:23" ht="12.75">
      <c r="C113" s="42"/>
      <c r="D113" s="42"/>
      <c r="E113" s="42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3:23" ht="12.75">
      <c r="C114" s="42"/>
      <c r="D114" s="42"/>
      <c r="E114" s="42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7:23" ht="12.75">
      <c r="G115" s="46"/>
      <c r="H115" s="46"/>
      <c r="I115" s="11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7:23" ht="12.75"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7:23" ht="12.75">
      <c r="G117" s="114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6:23" ht="12.75">
      <c r="F118" s="44"/>
      <c r="G118" s="114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7:23" ht="12.75">
      <c r="G119" s="114"/>
      <c r="H119" s="46"/>
      <c r="I119" s="11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6:23" ht="12.75">
      <c r="F120" s="44"/>
      <c r="G120" s="114"/>
      <c r="H120" s="46"/>
      <c r="I120" s="11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7:23" ht="12.75"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7:23" ht="12.75"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7:23" ht="12.75">
      <c r="G123" s="114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3:23" ht="12.75">
      <c r="C124" s="40"/>
      <c r="D124" s="40"/>
      <c r="E124" s="40"/>
      <c r="G124" s="114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7:23" ht="12.75"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s="39" customFormat="1" ht="12.75">
      <c r="A126" s="38"/>
      <c r="B126" s="38"/>
      <c r="F126" s="41"/>
      <c r="G126" s="46"/>
      <c r="H126" s="46"/>
      <c r="I126" s="46"/>
      <c r="J126" s="46"/>
      <c r="K126" s="46"/>
      <c r="L126" s="46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</row>
    <row r="127" spans="1:23" s="39" customFormat="1" ht="12.75">
      <c r="A127" s="38"/>
      <c r="B127" s="38"/>
      <c r="F127" s="41"/>
      <c r="G127" s="46"/>
      <c r="H127" s="46"/>
      <c r="I127" s="46"/>
      <c r="J127" s="46"/>
      <c r="K127" s="46"/>
      <c r="L127" s="46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</row>
    <row r="128" spans="1:23" s="39" customFormat="1" ht="12.75">
      <c r="A128" s="38"/>
      <c r="B128" s="38"/>
      <c r="F128" s="41"/>
      <c r="G128" s="46"/>
      <c r="H128" s="46"/>
      <c r="I128" s="46"/>
      <c r="J128" s="46"/>
      <c r="K128" s="46"/>
      <c r="L128" s="46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</row>
    <row r="129" spans="1:23" s="39" customFormat="1" ht="12.75">
      <c r="A129" s="38"/>
      <c r="B129" s="38"/>
      <c r="F129" s="44"/>
      <c r="G129" s="46"/>
      <c r="H129" s="46"/>
      <c r="I129" s="46"/>
      <c r="J129" s="46"/>
      <c r="K129" s="46"/>
      <c r="L129" s="46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</row>
    <row r="130" spans="1:23" s="39" customFormat="1" ht="12.75">
      <c r="A130" s="38"/>
      <c r="B130" s="38"/>
      <c r="F130" s="44"/>
      <c r="G130" s="46"/>
      <c r="H130" s="46"/>
      <c r="I130" s="46"/>
      <c r="J130" s="46"/>
      <c r="K130" s="46"/>
      <c r="L130" s="46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</row>
    <row r="131" spans="1:23" s="39" customFormat="1" ht="12.75">
      <c r="A131" s="38"/>
      <c r="B131" s="38"/>
      <c r="F131" s="44"/>
      <c r="G131" s="46"/>
      <c r="H131" s="46"/>
      <c r="I131" s="46"/>
      <c r="J131" s="46"/>
      <c r="K131" s="46"/>
      <c r="L131" s="46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</row>
    <row r="132" spans="1:12" s="39" customFormat="1" ht="12.75">
      <c r="A132" s="38"/>
      <c r="B132" s="38"/>
      <c r="F132" s="45"/>
      <c r="G132" s="1"/>
      <c r="H132" s="1"/>
      <c r="I132" s="1"/>
      <c r="J132" s="1"/>
      <c r="K132" s="1"/>
      <c r="L132" s="1"/>
    </row>
    <row r="133" spans="1:12" s="39" customFormat="1" ht="12.75">
      <c r="A133" s="38"/>
      <c r="B133" s="38"/>
      <c r="F133" s="44"/>
      <c r="G133" s="1"/>
      <c r="H133" s="1"/>
      <c r="I133" s="1"/>
      <c r="J133" s="1"/>
      <c r="K133" s="1"/>
      <c r="L133" s="1"/>
    </row>
    <row r="134" spans="1:12" s="39" customFormat="1" ht="12.75">
      <c r="A134" s="38"/>
      <c r="B134" s="38"/>
      <c r="F134" s="41"/>
      <c r="G134" s="1"/>
      <c r="H134" s="1"/>
      <c r="I134" s="1"/>
      <c r="J134" s="1"/>
      <c r="K134" s="1"/>
      <c r="L134" s="1"/>
    </row>
    <row r="136" spans="1:12" s="39" customFormat="1" ht="12.75">
      <c r="A136" s="38"/>
      <c r="B136" s="38"/>
      <c r="F136" s="44"/>
      <c r="G136" s="1"/>
      <c r="H136" s="1"/>
      <c r="I136" s="1"/>
      <c r="J136" s="1"/>
      <c r="K136" s="1"/>
      <c r="L136" s="1"/>
    </row>
    <row r="137" spans="1:12" s="39" customFormat="1" ht="12.75">
      <c r="A137" s="38"/>
      <c r="B137" s="38"/>
      <c r="F137" s="41"/>
      <c r="G137" s="1"/>
      <c r="H137" s="1"/>
      <c r="I137" s="1"/>
      <c r="J137" s="1"/>
      <c r="K137" s="1"/>
      <c r="L137" s="1"/>
    </row>
    <row r="138" spans="1:12" s="39" customFormat="1" ht="12.75">
      <c r="A138" s="38"/>
      <c r="B138" s="38"/>
      <c r="F138" s="44"/>
      <c r="G138" s="1"/>
      <c r="H138" s="1"/>
      <c r="I138" s="1"/>
      <c r="J138" s="1"/>
      <c r="K138" s="1"/>
      <c r="L138" s="1"/>
    </row>
    <row r="139" spans="1:12" s="39" customFormat="1" ht="12.75">
      <c r="A139" s="38"/>
      <c r="B139" s="38"/>
      <c r="F139" s="44"/>
      <c r="G139" s="1"/>
      <c r="H139" s="1"/>
      <c r="I139" s="1"/>
      <c r="J139" s="1"/>
      <c r="K139" s="1"/>
      <c r="L139" s="1"/>
    </row>
  </sheetData>
  <sheetProtection/>
  <mergeCells count="22">
    <mergeCell ref="A7:A14"/>
    <mergeCell ref="A18:A20"/>
    <mergeCell ref="A24:A30"/>
    <mergeCell ref="A34:A39"/>
    <mergeCell ref="A1:F2"/>
    <mergeCell ref="A3:A4"/>
    <mergeCell ref="B3:B4"/>
    <mergeCell ref="C3:C4"/>
    <mergeCell ref="D3:D4"/>
    <mergeCell ref="E3:E4"/>
    <mergeCell ref="F3:F4"/>
    <mergeCell ref="A99:A105"/>
    <mergeCell ref="A108:C108"/>
    <mergeCell ref="A45:A50"/>
    <mergeCell ref="A56:A57"/>
    <mergeCell ref="A59:A65"/>
    <mergeCell ref="A77:A79"/>
    <mergeCell ref="A81:A85"/>
    <mergeCell ref="A93:A97"/>
    <mergeCell ref="A67:A73"/>
    <mergeCell ref="A87:A88"/>
    <mergeCell ref="A90:A91"/>
  </mergeCells>
  <printOptions horizontalCentered="1"/>
  <pageMargins left="0.5905511811023623" right="0" top="0.7086614173228347" bottom="0.4330708661417323" header="0.5118110236220472" footer="0.3937007874015748"/>
  <pageSetup horizontalDpi="600" verticalDpi="600" orientation="portrait" paperSize="9" scale="73" r:id="rId1"/>
  <rowBreaks count="1" manualBreakCount="1"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11" sqref="H11"/>
    </sheetView>
  </sheetViews>
  <sheetFormatPr defaultColWidth="9.140625" defaultRowHeight="12.75"/>
  <cols>
    <col min="1" max="1" width="6.421875" style="38" customWidth="1"/>
    <col min="2" max="2" width="7.421875" style="38" customWidth="1"/>
    <col min="3" max="3" width="67.7109375" style="39" customWidth="1"/>
    <col min="4" max="4" width="17.28125" style="39" customWidth="1"/>
    <col min="5" max="5" width="16.421875" style="39" customWidth="1"/>
    <col min="6" max="6" width="10.00390625" style="41" customWidth="1"/>
    <col min="7" max="7" width="9.7109375" style="39" customWidth="1"/>
    <col min="8" max="8" width="16.140625" style="1" customWidth="1"/>
    <col min="9" max="9" width="9.140625" style="1" customWidth="1"/>
    <col min="10" max="10" width="10.7109375" style="1" bestFit="1" customWidth="1"/>
    <col min="11" max="16384" width="9.140625" style="1" customWidth="1"/>
  </cols>
  <sheetData>
    <row r="1" spans="1:7" ht="27.75" customHeight="1">
      <c r="A1" s="239" t="s">
        <v>155</v>
      </c>
      <c r="B1" s="239"/>
      <c r="C1" s="239"/>
      <c r="D1" s="239"/>
      <c r="E1" s="239"/>
      <c r="F1" s="239"/>
      <c r="G1" s="106"/>
    </row>
    <row r="2" spans="1:7" ht="36.75" customHeight="1">
      <c r="A2" s="250"/>
      <c r="B2" s="250"/>
      <c r="C2" s="250"/>
      <c r="D2" s="250"/>
      <c r="E2" s="250"/>
      <c r="F2" s="250"/>
      <c r="G2" s="106"/>
    </row>
    <row r="3" spans="1:7" ht="31.5" customHeight="1">
      <c r="A3" s="248" t="s">
        <v>0</v>
      </c>
      <c r="B3" s="248" t="s">
        <v>10</v>
      </c>
      <c r="C3" s="248" t="s">
        <v>143</v>
      </c>
      <c r="D3" s="248" t="s">
        <v>145</v>
      </c>
      <c r="E3" s="248" t="s">
        <v>146</v>
      </c>
      <c r="F3" s="249" t="s">
        <v>129</v>
      </c>
      <c r="G3" s="50"/>
    </row>
    <row r="4" spans="1:7" ht="15.75" customHeight="1">
      <c r="A4" s="248"/>
      <c r="B4" s="248"/>
      <c r="C4" s="248"/>
      <c r="D4" s="248"/>
      <c r="E4" s="248"/>
      <c r="F4" s="249"/>
      <c r="G4" s="50"/>
    </row>
    <row r="5" spans="1:7" ht="12.7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50"/>
    </row>
    <row r="6" spans="1:7" ht="12.75">
      <c r="A6" s="54" t="s">
        <v>1</v>
      </c>
      <c r="B6" s="54"/>
      <c r="C6" s="55" t="s">
        <v>17</v>
      </c>
      <c r="D6" s="49">
        <f>SUM(D7:D15)</f>
        <v>127605509</v>
      </c>
      <c r="E6" s="49">
        <f>SUM(E7:E15)</f>
        <v>79199160</v>
      </c>
      <c r="F6" s="56">
        <f>E6/D6</f>
        <v>0.6206562758979316</v>
      </c>
      <c r="G6" s="50"/>
    </row>
    <row r="7" spans="1:7" s="3" customFormat="1" ht="12.75">
      <c r="A7" s="254"/>
      <c r="B7" s="58" t="s">
        <v>4</v>
      </c>
      <c r="C7" s="59" t="s">
        <v>18</v>
      </c>
      <c r="D7" s="9">
        <v>10764035</v>
      </c>
      <c r="E7" s="9">
        <v>11287330</v>
      </c>
      <c r="F7" s="65">
        <f>E7/D7</f>
        <v>1.0486151336371536</v>
      </c>
      <c r="G7" s="51"/>
    </row>
    <row r="8" spans="1:7" s="3" customFormat="1" ht="12.75">
      <c r="A8" s="254"/>
      <c r="B8" s="60" t="s">
        <v>19</v>
      </c>
      <c r="C8" s="11" t="s">
        <v>20</v>
      </c>
      <c r="D8" s="61">
        <v>20000</v>
      </c>
      <c r="E8" s="61">
        <v>20000</v>
      </c>
      <c r="F8" s="48">
        <f>E8/D8</f>
        <v>1</v>
      </c>
      <c r="G8" s="51"/>
    </row>
    <row r="9" spans="1:7" s="3" customFormat="1" ht="12.75">
      <c r="A9" s="254"/>
      <c r="B9" s="60" t="s">
        <v>3</v>
      </c>
      <c r="C9" s="11" t="s">
        <v>83</v>
      </c>
      <c r="D9" s="61">
        <f>12294413-188526</f>
        <v>12105887</v>
      </c>
      <c r="E9" s="61">
        <v>10980000</v>
      </c>
      <c r="F9" s="48">
        <f aca="true" t="shared" si="0" ref="F9:F60">E9/D9</f>
        <v>0.9069967363812333</v>
      </c>
      <c r="G9" s="51"/>
    </row>
    <row r="10" spans="1:7" s="3" customFormat="1" ht="12.75">
      <c r="A10" s="254"/>
      <c r="B10" s="60" t="s">
        <v>2</v>
      </c>
      <c r="C10" s="11" t="s">
        <v>21</v>
      </c>
      <c r="D10" s="61">
        <v>39004992</v>
      </c>
      <c r="E10" s="61">
        <v>29175000</v>
      </c>
      <c r="F10" s="48">
        <f t="shared" si="0"/>
        <v>0.7479811814856929</v>
      </c>
      <c r="G10" s="51"/>
    </row>
    <row r="11" spans="1:7" s="3" customFormat="1" ht="12.75">
      <c r="A11" s="254"/>
      <c r="B11" s="60" t="s">
        <v>82</v>
      </c>
      <c r="C11" s="11" t="s">
        <v>84</v>
      </c>
      <c r="D11" s="61">
        <v>450005</v>
      </c>
      <c r="E11" s="61">
        <v>400000</v>
      </c>
      <c r="F11" s="48">
        <f t="shared" si="0"/>
        <v>0.8888790124554171</v>
      </c>
      <c r="G11" s="51"/>
    </row>
    <row r="12" spans="1:7" s="3" customFormat="1" ht="12.75">
      <c r="A12" s="254"/>
      <c r="B12" s="58" t="s">
        <v>5</v>
      </c>
      <c r="C12" s="11" t="s">
        <v>22</v>
      </c>
      <c r="D12" s="61">
        <v>5166000</v>
      </c>
      <c r="E12" s="61">
        <v>5520000</v>
      </c>
      <c r="F12" s="48">
        <f t="shared" si="0"/>
        <v>1.0685249709639955</v>
      </c>
      <c r="G12" s="51"/>
    </row>
    <row r="13" spans="1:7" s="3" customFormat="1" ht="12.75">
      <c r="A13" s="254"/>
      <c r="B13" s="58" t="s">
        <v>147</v>
      </c>
      <c r="C13" s="11" t="s">
        <v>324</v>
      </c>
      <c r="D13" s="61">
        <f>5620000+300000-300000</f>
        <v>5620000</v>
      </c>
      <c r="E13" s="61">
        <v>5000000</v>
      </c>
      <c r="F13" s="48">
        <f t="shared" si="0"/>
        <v>0.8896797153024911</v>
      </c>
      <c r="G13" s="51"/>
    </row>
    <row r="14" spans="1:7" s="3" customFormat="1" ht="12.75">
      <c r="A14" s="254"/>
      <c r="B14" s="58" t="s">
        <v>6</v>
      </c>
      <c r="C14" s="11" t="s">
        <v>23</v>
      </c>
      <c r="D14" s="61">
        <v>54332261</v>
      </c>
      <c r="E14" s="61">
        <v>16651830</v>
      </c>
      <c r="F14" s="48">
        <f t="shared" si="0"/>
        <v>0.30648144755102313</v>
      </c>
      <c r="G14" s="51"/>
    </row>
    <row r="15" spans="1:7" s="3" customFormat="1" ht="12.75">
      <c r="A15" s="254"/>
      <c r="B15" s="58" t="s">
        <v>7</v>
      </c>
      <c r="C15" s="11" t="s">
        <v>24</v>
      </c>
      <c r="D15" s="61">
        <v>142329</v>
      </c>
      <c r="E15" s="61">
        <v>165000</v>
      </c>
      <c r="F15" s="48">
        <f t="shared" si="0"/>
        <v>1.1592858798979828</v>
      </c>
      <c r="G15" s="51"/>
    </row>
    <row r="16" spans="1:7" s="5" customFormat="1" ht="12.75">
      <c r="A16" s="4" t="s">
        <v>8</v>
      </c>
      <c r="B16" s="4"/>
      <c r="C16" s="62" t="s">
        <v>25</v>
      </c>
      <c r="D16" s="49">
        <f>SUM(D17)</f>
        <v>484200</v>
      </c>
      <c r="E16" s="49">
        <f>SUM(E17)</f>
        <v>496000</v>
      </c>
      <c r="F16" s="56">
        <f>E16/D16</f>
        <v>1.0243700950020653</v>
      </c>
      <c r="G16" s="51"/>
    </row>
    <row r="17" spans="1:7" s="3" customFormat="1" ht="25.5">
      <c r="A17" s="57"/>
      <c r="B17" s="58" t="s">
        <v>9</v>
      </c>
      <c r="C17" s="59" t="s">
        <v>26</v>
      </c>
      <c r="D17" s="9">
        <v>484200</v>
      </c>
      <c r="E17" s="9">
        <v>496000</v>
      </c>
      <c r="F17" s="48">
        <f t="shared" si="0"/>
        <v>1.0243700950020653</v>
      </c>
      <c r="G17" s="51"/>
    </row>
    <row r="18" spans="1:7" ht="12.75">
      <c r="A18" s="6">
        <v>150</v>
      </c>
      <c r="B18" s="6"/>
      <c r="C18" s="15" t="s">
        <v>27</v>
      </c>
      <c r="D18" s="63">
        <f>SUM(D19:D21)</f>
        <v>75662850</v>
      </c>
      <c r="E18" s="63">
        <f>SUM(E19:E21)</f>
        <v>72638040</v>
      </c>
      <c r="F18" s="56">
        <f>E18/D18</f>
        <v>0.9600225209597577</v>
      </c>
      <c r="G18" s="51"/>
    </row>
    <row r="19" spans="1:7" s="3" customFormat="1" ht="12.75">
      <c r="A19" s="245"/>
      <c r="B19" s="12">
        <v>15011</v>
      </c>
      <c r="C19" s="11" t="s">
        <v>28</v>
      </c>
      <c r="D19" s="61">
        <f>64300236-900</f>
        <v>64299336</v>
      </c>
      <c r="E19" s="61">
        <v>66045145</v>
      </c>
      <c r="F19" s="48">
        <f>E19/D19</f>
        <v>1.0271512757145735</v>
      </c>
      <c r="G19" s="51"/>
    </row>
    <row r="20" spans="1:7" s="3" customFormat="1" ht="12.75">
      <c r="A20" s="245"/>
      <c r="B20" s="12">
        <v>15013</v>
      </c>
      <c r="C20" s="11" t="s">
        <v>29</v>
      </c>
      <c r="D20" s="61">
        <v>10347106</v>
      </c>
      <c r="E20" s="61">
        <v>5772769</v>
      </c>
      <c r="F20" s="48">
        <f>E20/D20</f>
        <v>0.5579114585276308</v>
      </c>
      <c r="G20" s="51"/>
    </row>
    <row r="21" spans="1:7" s="3" customFormat="1" ht="12.75">
      <c r="A21" s="245"/>
      <c r="B21" s="12">
        <v>15095</v>
      </c>
      <c r="C21" s="59" t="s">
        <v>24</v>
      </c>
      <c r="D21" s="9">
        <f>1561748-551340+6000</f>
        <v>1016408</v>
      </c>
      <c r="E21" s="9">
        <v>820126</v>
      </c>
      <c r="F21" s="48">
        <f>E21/D21</f>
        <v>0.8068866045918568</v>
      </c>
      <c r="G21" s="51"/>
    </row>
    <row r="22" spans="1:7" s="5" customFormat="1" ht="12.75" customHeight="1">
      <c r="A22" s="6">
        <v>400</v>
      </c>
      <c r="B22" s="64"/>
      <c r="C22" s="55" t="s">
        <v>30</v>
      </c>
      <c r="D22" s="49">
        <f>SUM(D23:D25)</f>
        <v>2121641</v>
      </c>
      <c r="E22" s="49">
        <f>SUM(E23:E25)</f>
        <v>1308204</v>
      </c>
      <c r="F22" s="56">
        <f>E22/D22</f>
        <v>0.616600075130524</v>
      </c>
      <c r="G22" s="52"/>
    </row>
    <row r="23" spans="1:7" s="46" customFormat="1" ht="12.75" customHeight="1">
      <c r="A23" s="247"/>
      <c r="B23" s="47">
        <v>40001</v>
      </c>
      <c r="C23" s="59" t="s">
        <v>85</v>
      </c>
      <c r="D23" s="9">
        <v>1327574</v>
      </c>
      <c r="E23" s="9">
        <v>827574</v>
      </c>
      <c r="F23" s="65">
        <f>E23/D23</f>
        <v>0.6233731603662018</v>
      </c>
      <c r="G23" s="52"/>
    </row>
    <row r="24" spans="1:7" s="3" customFormat="1" ht="12.75">
      <c r="A24" s="247"/>
      <c r="B24" s="7">
        <v>40003</v>
      </c>
      <c r="C24" s="8" t="s">
        <v>86</v>
      </c>
      <c r="D24" s="9">
        <v>119191</v>
      </c>
      <c r="E24" s="9">
        <v>6530</v>
      </c>
      <c r="F24" s="65">
        <f>E24/D24</f>
        <v>0.054786015722663624</v>
      </c>
      <c r="G24" s="51"/>
    </row>
    <row r="25" spans="1:7" s="3" customFormat="1" ht="12.75">
      <c r="A25" s="247"/>
      <c r="B25" s="7">
        <v>40095</v>
      </c>
      <c r="C25" s="8" t="s">
        <v>24</v>
      </c>
      <c r="D25" s="9">
        <v>674876</v>
      </c>
      <c r="E25" s="9">
        <v>474100</v>
      </c>
      <c r="F25" s="65">
        <f>E25/D25</f>
        <v>0.7024994221160628</v>
      </c>
      <c r="G25" s="51"/>
    </row>
    <row r="26" spans="1:7" ht="12.75">
      <c r="A26" s="10">
        <v>500</v>
      </c>
      <c r="B26" s="55"/>
      <c r="C26" s="55" t="s">
        <v>31</v>
      </c>
      <c r="D26" s="49">
        <f>SUM(D27)</f>
        <v>184280</v>
      </c>
      <c r="E26" s="49">
        <f>SUM(E27)</f>
        <v>284732</v>
      </c>
      <c r="F26" s="56">
        <f>E26/D26</f>
        <v>1.5451052745821576</v>
      </c>
      <c r="G26" s="116"/>
    </row>
    <row r="27" spans="1:7" s="3" customFormat="1" ht="12.75">
      <c r="A27" s="12"/>
      <c r="B27" s="7">
        <v>50005</v>
      </c>
      <c r="C27" s="11" t="s">
        <v>32</v>
      </c>
      <c r="D27" s="61">
        <v>184280</v>
      </c>
      <c r="E27" s="61">
        <v>284732</v>
      </c>
      <c r="F27" s="48">
        <f t="shared" si="0"/>
        <v>1.5451052745821576</v>
      </c>
      <c r="G27" s="51"/>
    </row>
    <row r="28" spans="1:7" ht="12.75">
      <c r="A28" s="10">
        <v>600</v>
      </c>
      <c r="B28" s="10"/>
      <c r="C28" s="55" t="s">
        <v>33</v>
      </c>
      <c r="D28" s="49">
        <f>SUM(D29:D38)</f>
        <v>469796808</v>
      </c>
      <c r="E28" s="49">
        <f>SUM(E29:E38)</f>
        <v>527431348</v>
      </c>
      <c r="F28" s="56">
        <f>E28/D28</f>
        <v>1.1226797181644537</v>
      </c>
      <c r="G28" s="51"/>
    </row>
    <row r="29" spans="1:7" s="3" customFormat="1" ht="12.75">
      <c r="A29" s="245"/>
      <c r="B29" s="12">
        <v>60001</v>
      </c>
      <c r="C29" s="11" t="s">
        <v>34</v>
      </c>
      <c r="D29" s="61">
        <v>67026592</v>
      </c>
      <c r="E29" s="61">
        <v>80195825</v>
      </c>
      <c r="F29" s="48">
        <f t="shared" si="0"/>
        <v>1.196477735284527</v>
      </c>
      <c r="G29" s="51"/>
    </row>
    <row r="30" spans="1:7" s="3" customFormat="1" ht="12.75">
      <c r="A30" s="245"/>
      <c r="B30" s="12">
        <v>60002</v>
      </c>
      <c r="C30" s="11" t="s">
        <v>87</v>
      </c>
      <c r="D30" s="61">
        <v>300000</v>
      </c>
      <c r="E30" s="61">
        <v>0</v>
      </c>
      <c r="F30" s="48">
        <f t="shared" si="0"/>
        <v>0</v>
      </c>
      <c r="G30" s="51"/>
    </row>
    <row r="31" spans="1:7" s="3" customFormat="1" ht="12.75">
      <c r="A31" s="245"/>
      <c r="B31" s="7">
        <v>60003</v>
      </c>
      <c r="C31" s="59" t="s">
        <v>35</v>
      </c>
      <c r="D31" s="9">
        <v>52043224</v>
      </c>
      <c r="E31" s="9">
        <v>53861000</v>
      </c>
      <c r="F31" s="48">
        <f t="shared" si="0"/>
        <v>1.0349281973768574</v>
      </c>
      <c r="G31" s="51"/>
    </row>
    <row r="32" spans="1:7" s="3" customFormat="1" ht="12.75">
      <c r="A32" s="245"/>
      <c r="B32" s="12">
        <v>60004</v>
      </c>
      <c r="C32" s="11" t="s">
        <v>36</v>
      </c>
      <c r="D32" s="61">
        <v>110000</v>
      </c>
      <c r="E32" s="61">
        <v>140000</v>
      </c>
      <c r="F32" s="48">
        <f t="shared" si="0"/>
        <v>1.2727272727272727</v>
      </c>
      <c r="G32" s="51"/>
    </row>
    <row r="33" spans="1:7" s="3" customFormat="1" ht="12.75">
      <c r="A33" s="245"/>
      <c r="B33" s="12">
        <v>60013</v>
      </c>
      <c r="C33" s="11" t="s">
        <v>37</v>
      </c>
      <c r="D33" s="61">
        <f>332878580-762000-2305000-661000+661000</f>
        <v>329811580</v>
      </c>
      <c r="E33" s="61">
        <v>389226368</v>
      </c>
      <c r="F33" s="48">
        <f t="shared" si="0"/>
        <v>1.1801476709823226</v>
      </c>
      <c r="G33" s="51"/>
    </row>
    <row r="34" spans="1:7" s="3" customFormat="1" ht="12.75">
      <c r="A34" s="245"/>
      <c r="B34" s="12">
        <v>60014</v>
      </c>
      <c r="C34" s="11" t="s">
        <v>149</v>
      </c>
      <c r="D34" s="61">
        <v>27371</v>
      </c>
      <c r="E34" s="61">
        <v>0</v>
      </c>
      <c r="F34" s="48">
        <f t="shared" si="0"/>
        <v>0</v>
      </c>
      <c r="G34" s="51"/>
    </row>
    <row r="35" spans="1:7" s="3" customFormat="1" ht="12.75">
      <c r="A35" s="245"/>
      <c r="B35" s="12">
        <v>60016</v>
      </c>
      <c r="C35" s="11" t="s">
        <v>124</v>
      </c>
      <c r="D35" s="61">
        <v>245819</v>
      </c>
      <c r="E35" s="61">
        <v>0</v>
      </c>
      <c r="F35" s="48">
        <f t="shared" si="0"/>
        <v>0</v>
      </c>
      <c r="G35" s="51"/>
    </row>
    <row r="36" spans="1:7" s="3" customFormat="1" ht="12.75">
      <c r="A36" s="245"/>
      <c r="B36" s="12">
        <v>60053</v>
      </c>
      <c r="C36" s="11" t="s">
        <v>88</v>
      </c>
      <c r="D36" s="61">
        <v>317363</v>
      </c>
      <c r="E36" s="61">
        <v>0</v>
      </c>
      <c r="F36" s="48">
        <f t="shared" si="0"/>
        <v>0</v>
      </c>
      <c r="G36" s="51"/>
    </row>
    <row r="37" spans="1:7" s="3" customFormat="1" ht="12.75">
      <c r="A37" s="245"/>
      <c r="B37" s="12">
        <v>60078</v>
      </c>
      <c r="C37" s="11" t="s">
        <v>23</v>
      </c>
      <c r="D37" s="61">
        <v>6464859</v>
      </c>
      <c r="E37" s="61">
        <v>0</v>
      </c>
      <c r="F37" s="48">
        <f t="shared" si="0"/>
        <v>0</v>
      </c>
      <c r="G37" s="51"/>
    </row>
    <row r="38" spans="1:7" s="3" customFormat="1" ht="12.75">
      <c r="A38" s="245"/>
      <c r="B38" s="12">
        <v>60095</v>
      </c>
      <c r="C38" s="11" t="s">
        <v>24</v>
      </c>
      <c r="D38" s="61">
        <v>13450000</v>
      </c>
      <c r="E38" s="61">
        <v>4008155</v>
      </c>
      <c r="F38" s="48">
        <f t="shared" si="0"/>
        <v>0.29800408921933086</v>
      </c>
      <c r="G38" s="51"/>
    </row>
    <row r="39" spans="1:7" s="3" customFormat="1" ht="12.75">
      <c r="A39" s="6">
        <v>630</v>
      </c>
      <c r="B39" s="6"/>
      <c r="C39" s="15" t="s">
        <v>89</v>
      </c>
      <c r="D39" s="63">
        <f>SUM(D40)</f>
        <v>150000</v>
      </c>
      <c r="E39" s="63">
        <f>SUM(E40)</f>
        <v>750000</v>
      </c>
      <c r="F39" s="56">
        <f>E39/D39</f>
        <v>5</v>
      </c>
      <c r="G39" s="51"/>
    </row>
    <row r="40" spans="1:7" s="3" customFormat="1" ht="12.75">
      <c r="A40" s="12"/>
      <c r="B40" s="12">
        <v>63003</v>
      </c>
      <c r="C40" s="11" t="s">
        <v>90</v>
      </c>
      <c r="D40" s="61">
        <v>150000</v>
      </c>
      <c r="E40" s="61">
        <v>750000</v>
      </c>
      <c r="F40" s="48">
        <f>E40/D40</f>
        <v>5</v>
      </c>
      <c r="G40" s="51"/>
    </row>
    <row r="41" spans="1:17" ht="12.75">
      <c r="A41" s="6">
        <v>700</v>
      </c>
      <c r="B41" s="6"/>
      <c r="C41" s="15" t="s">
        <v>38</v>
      </c>
      <c r="D41" s="63">
        <f>SUM(D42)</f>
        <v>1579429</v>
      </c>
      <c r="E41" s="63">
        <f>SUM(E42)</f>
        <v>831100</v>
      </c>
      <c r="F41" s="56">
        <f>E41/D41</f>
        <v>0.52620282393194</v>
      </c>
      <c r="G41" s="51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7" s="3" customFormat="1" ht="12.75">
      <c r="A42" s="12"/>
      <c r="B42" s="12">
        <v>70005</v>
      </c>
      <c r="C42" s="11" t="s">
        <v>39</v>
      </c>
      <c r="D42" s="61">
        <v>1579429</v>
      </c>
      <c r="E42" s="61">
        <v>831100</v>
      </c>
      <c r="F42" s="48">
        <f t="shared" si="0"/>
        <v>0.52620282393194</v>
      </c>
      <c r="G42" s="51"/>
    </row>
    <row r="43" spans="1:17" ht="12.75">
      <c r="A43" s="6">
        <v>710</v>
      </c>
      <c r="B43" s="13"/>
      <c r="C43" s="15" t="s">
        <v>40</v>
      </c>
      <c r="D43" s="63">
        <f>SUM(D44:D48)</f>
        <v>7642011</v>
      </c>
      <c r="E43" s="63">
        <f>SUM(E44:E48)</f>
        <v>7687000</v>
      </c>
      <c r="F43" s="56">
        <f>E43/D43</f>
        <v>1.0058870629733456</v>
      </c>
      <c r="G43" s="51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7" s="3" customFormat="1" ht="12.75">
      <c r="A44" s="245"/>
      <c r="B44" s="12">
        <v>71003</v>
      </c>
      <c r="C44" s="11" t="s">
        <v>41</v>
      </c>
      <c r="D44" s="61">
        <v>3813011</v>
      </c>
      <c r="E44" s="61">
        <v>3910000</v>
      </c>
      <c r="F44" s="48">
        <f t="shared" si="0"/>
        <v>1.025436328402934</v>
      </c>
      <c r="G44" s="51"/>
    </row>
    <row r="45" spans="1:7" s="3" customFormat="1" ht="12.75">
      <c r="A45" s="245"/>
      <c r="B45" s="12">
        <v>71012</v>
      </c>
      <c r="C45" s="11" t="s">
        <v>42</v>
      </c>
      <c r="D45" s="61">
        <f>1578500-300000</f>
        <v>1278500</v>
      </c>
      <c r="E45" s="61">
        <v>7000</v>
      </c>
      <c r="F45" s="48">
        <f t="shared" si="0"/>
        <v>0.005475166210402816</v>
      </c>
      <c r="G45" s="51"/>
    </row>
    <row r="46" spans="1:7" s="3" customFormat="1" ht="12.75">
      <c r="A46" s="245"/>
      <c r="B46" s="12">
        <v>71013</v>
      </c>
      <c r="C46" s="11" t="s">
        <v>43</v>
      </c>
      <c r="D46" s="61">
        <f>3197500-1598000</f>
        <v>1599500</v>
      </c>
      <c r="E46" s="61">
        <v>945000</v>
      </c>
      <c r="F46" s="48">
        <f t="shared" si="0"/>
        <v>0.5908096280087527</v>
      </c>
      <c r="G46" s="51"/>
    </row>
    <row r="47" spans="1:7" s="3" customFormat="1" ht="12.75">
      <c r="A47" s="245"/>
      <c r="B47" s="12">
        <v>71078</v>
      </c>
      <c r="C47" s="11" t="s">
        <v>23</v>
      </c>
      <c r="D47" s="61">
        <v>760000</v>
      </c>
      <c r="E47" s="61">
        <v>2325000</v>
      </c>
      <c r="F47" s="48">
        <f t="shared" si="0"/>
        <v>3.0592105263157894</v>
      </c>
      <c r="G47" s="51"/>
    </row>
    <row r="48" spans="1:7" s="3" customFormat="1" ht="12.75">
      <c r="A48" s="245"/>
      <c r="B48" s="12">
        <v>71095</v>
      </c>
      <c r="C48" s="59" t="s">
        <v>24</v>
      </c>
      <c r="D48" s="9">
        <v>191000</v>
      </c>
      <c r="E48" s="9">
        <v>500000</v>
      </c>
      <c r="F48" s="48">
        <f t="shared" si="0"/>
        <v>2.6178010471204187</v>
      </c>
      <c r="G48" s="51"/>
    </row>
    <row r="49" spans="1:17" s="5" customFormat="1" ht="12.75" customHeight="1">
      <c r="A49" s="10">
        <v>720</v>
      </c>
      <c r="B49" s="55"/>
      <c r="C49" s="55" t="s">
        <v>44</v>
      </c>
      <c r="D49" s="49">
        <f>SUM(D50)</f>
        <v>438382</v>
      </c>
      <c r="E49" s="49">
        <f>SUM(E50)</f>
        <v>121804165</v>
      </c>
      <c r="F49" s="56">
        <f>E49/D49</f>
        <v>277.8493756586721</v>
      </c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7" s="3" customFormat="1" ht="12.75">
      <c r="A50" s="12"/>
      <c r="B50" s="12">
        <v>72095</v>
      </c>
      <c r="C50" s="11" t="s">
        <v>24</v>
      </c>
      <c r="D50" s="61">
        <f>7261124-2780193+18291-3910840-150000</f>
        <v>438382</v>
      </c>
      <c r="E50" s="61">
        <v>121804165</v>
      </c>
      <c r="F50" s="48">
        <f>E50/D50</f>
        <v>277.8493756586721</v>
      </c>
      <c r="G50" s="51"/>
    </row>
    <row r="51" spans="1:17" s="5" customFormat="1" ht="12.75">
      <c r="A51" s="6">
        <v>730</v>
      </c>
      <c r="B51" s="6"/>
      <c r="C51" s="55" t="s">
        <v>45</v>
      </c>
      <c r="D51" s="49">
        <f>SUM(D52)</f>
        <v>6998948</v>
      </c>
      <c r="E51" s="49">
        <f>SUM(E52)</f>
        <v>5589782</v>
      </c>
      <c r="F51" s="56">
        <f>E51/D51</f>
        <v>0.798660312949889</v>
      </c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7" s="3" customFormat="1" ht="12.75">
      <c r="A52" s="12"/>
      <c r="B52" s="12">
        <v>73095</v>
      </c>
      <c r="C52" s="11" t="s">
        <v>24</v>
      </c>
      <c r="D52" s="61">
        <v>6998948</v>
      </c>
      <c r="E52" s="61">
        <v>5589782</v>
      </c>
      <c r="F52" s="48">
        <f>E52/D52</f>
        <v>0.798660312949889</v>
      </c>
      <c r="G52" s="51"/>
    </row>
    <row r="53" spans="1:17" s="14" customFormat="1" ht="12.75">
      <c r="A53" s="6">
        <v>750</v>
      </c>
      <c r="B53" s="6"/>
      <c r="C53" s="55" t="s">
        <v>46</v>
      </c>
      <c r="D53" s="63">
        <f>SUM(D54:D60)</f>
        <v>92663387</v>
      </c>
      <c r="E53" s="63">
        <f>SUM(E54:E60)</f>
        <v>95323691</v>
      </c>
      <c r="F53" s="56">
        <f>E53/D53</f>
        <v>1.0287093326299415</v>
      </c>
      <c r="G53" s="52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7" s="3" customFormat="1" ht="12.75">
      <c r="A54" s="245"/>
      <c r="B54" s="12">
        <v>75011</v>
      </c>
      <c r="C54" s="11" t="s">
        <v>47</v>
      </c>
      <c r="D54" s="61">
        <v>1182535</v>
      </c>
      <c r="E54" s="61">
        <v>1189367</v>
      </c>
      <c r="F54" s="48">
        <f t="shared" si="0"/>
        <v>1.005777418850182</v>
      </c>
      <c r="G54" s="51"/>
    </row>
    <row r="55" spans="1:7" s="3" customFormat="1" ht="12.75">
      <c r="A55" s="245"/>
      <c r="B55" s="12">
        <v>75017</v>
      </c>
      <c r="C55" s="11" t="s">
        <v>91</v>
      </c>
      <c r="D55" s="61">
        <f>1170000-110000</f>
        <v>1060000</v>
      </c>
      <c r="E55" s="61">
        <v>1092000</v>
      </c>
      <c r="F55" s="48">
        <f t="shared" si="0"/>
        <v>1.030188679245283</v>
      </c>
      <c r="G55" s="51"/>
    </row>
    <row r="56" spans="1:7" s="3" customFormat="1" ht="12.75">
      <c r="A56" s="245"/>
      <c r="B56" s="12">
        <v>75018</v>
      </c>
      <c r="C56" s="11" t="s">
        <v>48</v>
      </c>
      <c r="D56" s="61">
        <v>67792469</v>
      </c>
      <c r="E56" s="61">
        <v>70175475</v>
      </c>
      <c r="F56" s="48">
        <f t="shared" si="0"/>
        <v>1.0351514856318333</v>
      </c>
      <c r="G56" s="51"/>
    </row>
    <row r="57" spans="1:7" s="3" customFormat="1" ht="12.75">
      <c r="A57" s="245"/>
      <c r="B57" s="12">
        <v>75046</v>
      </c>
      <c r="C57" s="11" t="s">
        <v>49</v>
      </c>
      <c r="D57" s="61">
        <v>62000</v>
      </c>
      <c r="E57" s="61">
        <v>64000</v>
      </c>
      <c r="F57" s="48">
        <f t="shared" si="0"/>
        <v>1.032258064516129</v>
      </c>
      <c r="G57" s="51"/>
    </row>
    <row r="58" spans="1:7" s="3" customFormat="1" ht="12.75">
      <c r="A58" s="245"/>
      <c r="B58" s="12">
        <v>75071</v>
      </c>
      <c r="C58" s="59" t="s">
        <v>50</v>
      </c>
      <c r="D58" s="9">
        <v>351171</v>
      </c>
      <c r="E58" s="9">
        <v>393111</v>
      </c>
      <c r="F58" s="48">
        <f t="shared" si="0"/>
        <v>1.1194289961300905</v>
      </c>
      <c r="G58" s="51"/>
    </row>
    <row r="59" spans="1:7" s="3" customFormat="1" ht="12.75">
      <c r="A59" s="245"/>
      <c r="B59" s="12">
        <v>75075</v>
      </c>
      <c r="C59" s="11" t="s">
        <v>51</v>
      </c>
      <c r="D59" s="61">
        <f>11225804-821048-52000-228456</f>
        <v>10124300</v>
      </c>
      <c r="E59" s="61">
        <v>12880893</v>
      </c>
      <c r="F59" s="48">
        <f t="shared" si="0"/>
        <v>1.272274922710706</v>
      </c>
      <c r="G59" s="51"/>
    </row>
    <row r="60" spans="1:7" s="3" customFormat="1" ht="12.75">
      <c r="A60" s="245"/>
      <c r="B60" s="12">
        <v>75095</v>
      </c>
      <c r="C60" s="11" t="s">
        <v>24</v>
      </c>
      <c r="D60" s="61">
        <f>12205631-11219-5000-98500</f>
        <v>12090912</v>
      </c>
      <c r="E60" s="61">
        <v>9528845</v>
      </c>
      <c r="F60" s="48">
        <f t="shared" si="0"/>
        <v>0.7880997727880246</v>
      </c>
      <c r="G60" s="51"/>
    </row>
    <row r="61" spans="1:7" s="3" customFormat="1" ht="12.75">
      <c r="A61" s="10">
        <v>752</v>
      </c>
      <c r="B61" s="55"/>
      <c r="C61" s="55" t="s">
        <v>125</v>
      </c>
      <c r="D61" s="49">
        <f>SUM(D62)</f>
        <v>0</v>
      </c>
      <c r="E61" s="49">
        <f>SUM(E62)</f>
        <v>4000</v>
      </c>
      <c r="F61" s="117">
        <v>0</v>
      </c>
      <c r="G61" s="51"/>
    </row>
    <row r="62" spans="1:7" s="3" customFormat="1" ht="12.75">
      <c r="A62" s="12"/>
      <c r="B62" s="12">
        <v>75212</v>
      </c>
      <c r="C62" s="11" t="s">
        <v>126</v>
      </c>
      <c r="D62" s="61">
        <v>0</v>
      </c>
      <c r="E62" s="61">
        <v>4000</v>
      </c>
      <c r="F62" s="48">
        <v>0</v>
      </c>
      <c r="G62" s="51"/>
    </row>
    <row r="63" spans="1:17" ht="12.75">
      <c r="A63" s="10">
        <v>754</v>
      </c>
      <c r="B63" s="55"/>
      <c r="C63" s="55" t="s">
        <v>92</v>
      </c>
      <c r="D63" s="49">
        <f>SUM(D64:D67)</f>
        <v>822860</v>
      </c>
      <c r="E63" s="49">
        <f>SUM(E64:E67)</f>
        <v>1300000</v>
      </c>
      <c r="F63" s="56">
        <f>E63/D63</f>
        <v>1.5798556255013003</v>
      </c>
      <c r="G63" s="51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2.75">
      <c r="A64" s="251"/>
      <c r="B64" s="66">
        <v>75404</v>
      </c>
      <c r="C64" s="67" t="s">
        <v>127</v>
      </c>
      <c r="D64" s="68">
        <v>132860</v>
      </c>
      <c r="E64" s="68">
        <v>1000000</v>
      </c>
      <c r="F64" s="69">
        <f>E64/D64</f>
        <v>7.526719855486979</v>
      </c>
      <c r="G64" s="51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2.75">
      <c r="A65" s="252"/>
      <c r="B65" s="66">
        <v>75406</v>
      </c>
      <c r="C65" s="67" t="s">
        <v>128</v>
      </c>
      <c r="D65" s="68">
        <v>70000</v>
      </c>
      <c r="E65" s="68">
        <v>0</v>
      </c>
      <c r="F65" s="69">
        <f>E65/D65</f>
        <v>0</v>
      </c>
      <c r="G65" s="51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7" s="3" customFormat="1" ht="12.75">
      <c r="A66" s="252"/>
      <c r="B66" s="7">
        <v>75415</v>
      </c>
      <c r="C66" s="8" t="s">
        <v>93</v>
      </c>
      <c r="D66" s="9">
        <v>200000</v>
      </c>
      <c r="E66" s="9">
        <v>300000</v>
      </c>
      <c r="F66" s="69">
        <f>E66/D66</f>
        <v>1.5</v>
      </c>
      <c r="G66" s="51"/>
    </row>
    <row r="67" spans="1:7" s="3" customFormat="1" ht="12.75">
      <c r="A67" s="253"/>
      <c r="B67" s="7">
        <v>75495</v>
      </c>
      <c r="C67" s="8" t="s">
        <v>24</v>
      </c>
      <c r="D67" s="9">
        <v>420000</v>
      </c>
      <c r="E67" s="9">
        <v>0</v>
      </c>
      <c r="F67" s="69">
        <f>E67/D67</f>
        <v>0</v>
      </c>
      <c r="G67" s="51"/>
    </row>
    <row r="68" spans="1:17" ht="12.75">
      <c r="A68" s="6">
        <v>757</v>
      </c>
      <c r="B68" s="13"/>
      <c r="C68" s="15" t="s">
        <v>94</v>
      </c>
      <c r="D68" s="63">
        <f>SUM(D69:D70)</f>
        <v>15925192</v>
      </c>
      <c r="E68" s="63">
        <f>SUM(E69:E70)</f>
        <v>29852749</v>
      </c>
      <c r="F68" s="56">
        <f aca="true" t="shared" si="1" ref="F68:F73">E68/D68</f>
        <v>1.8745613239702228</v>
      </c>
      <c r="G68" s="51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7" s="3" customFormat="1" ht="25.5">
      <c r="A69" s="245"/>
      <c r="B69" s="12">
        <v>75702</v>
      </c>
      <c r="C69" s="11" t="s">
        <v>95</v>
      </c>
      <c r="D69" s="61">
        <v>13640800</v>
      </c>
      <c r="E69" s="61">
        <v>19317200</v>
      </c>
      <c r="F69" s="65">
        <f t="shared" si="1"/>
        <v>1.4161339510879127</v>
      </c>
      <c r="G69" s="51"/>
    </row>
    <row r="70" spans="1:7" s="3" customFormat="1" ht="25.5">
      <c r="A70" s="245"/>
      <c r="B70" s="12">
        <v>75704</v>
      </c>
      <c r="C70" s="11" t="s">
        <v>96</v>
      </c>
      <c r="D70" s="61">
        <f>4284392-2000000</f>
        <v>2284392</v>
      </c>
      <c r="E70" s="61">
        <v>10535549</v>
      </c>
      <c r="F70" s="48">
        <f t="shared" si="1"/>
        <v>4.6119707125572145</v>
      </c>
      <c r="G70" s="51"/>
    </row>
    <row r="71" spans="1:17" ht="12.75">
      <c r="A71" s="6">
        <v>758</v>
      </c>
      <c r="B71" s="6"/>
      <c r="C71" s="16" t="s">
        <v>52</v>
      </c>
      <c r="D71" s="17">
        <f>SUM(D72:D72)</f>
        <v>3273759</v>
      </c>
      <c r="E71" s="17">
        <f>SUM(E72:E72)</f>
        <v>29534171</v>
      </c>
      <c r="F71" s="56">
        <f t="shared" si="1"/>
        <v>9.021486004314918</v>
      </c>
      <c r="G71" s="51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7" s="3" customFormat="1" ht="12.75">
      <c r="A72" s="12"/>
      <c r="B72" s="12">
        <v>75818</v>
      </c>
      <c r="C72" s="18" t="s">
        <v>97</v>
      </c>
      <c r="D72" s="19">
        <v>3273759</v>
      </c>
      <c r="E72" s="19">
        <v>29534171</v>
      </c>
      <c r="F72" s="48">
        <f t="shared" si="1"/>
        <v>9.021486004314918</v>
      </c>
      <c r="G72" s="51"/>
    </row>
    <row r="73" spans="1:17" s="26" customFormat="1" ht="12.75">
      <c r="A73" s="6">
        <v>801</v>
      </c>
      <c r="B73" s="23"/>
      <c r="C73" s="24" t="s">
        <v>53</v>
      </c>
      <c r="D73" s="25">
        <f>SUM(D74:D82)</f>
        <v>67246741</v>
      </c>
      <c r="E73" s="25">
        <f>SUM(E74:E82)</f>
        <v>63791716</v>
      </c>
      <c r="F73" s="56">
        <f t="shared" si="1"/>
        <v>0.9486216737254226</v>
      </c>
      <c r="G73" s="51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6" customFormat="1" ht="12.75">
      <c r="A74" s="247"/>
      <c r="B74" s="27">
        <v>80102</v>
      </c>
      <c r="C74" s="30" t="s">
        <v>98</v>
      </c>
      <c r="D74" s="29">
        <v>3716982</v>
      </c>
      <c r="E74" s="29">
        <v>4431036</v>
      </c>
      <c r="F74" s="65">
        <f>E74/D74</f>
        <v>1.192105853619953</v>
      </c>
      <c r="G74" s="51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6" customFormat="1" ht="12.75">
      <c r="A75" s="247"/>
      <c r="B75" s="27">
        <v>80111</v>
      </c>
      <c r="C75" s="30" t="s">
        <v>99</v>
      </c>
      <c r="D75" s="29">
        <v>1415102</v>
      </c>
      <c r="E75" s="29">
        <v>1679428</v>
      </c>
      <c r="F75" s="65">
        <f aca="true" t="shared" si="2" ref="F75:F82">E75/D75</f>
        <v>1.1867893621802528</v>
      </c>
      <c r="G75" s="51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6" customFormat="1" ht="12.75">
      <c r="A76" s="247"/>
      <c r="B76" s="27">
        <v>80121</v>
      </c>
      <c r="C76" s="30" t="s">
        <v>100</v>
      </c>
      <c r="D76" s="29">
        <v>238251</v>
      </c>
      <c r="E76" s="29">
        <v>422182</v>
      </c>
      <c r="F76" s="65">
        <f t="shared" si="2"/>
        <v>1.772005154228104</v>
      </c>
      <c r="G76" s="51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6" customFormat="1" ht="12.75">
      <c r="A77" s="247"/>
      <c r="B77" s="27">
        <v>80130</v>
      </c>
      <c r="C77" s="30" t="s">
        <v>101</v>
      </c>
      <c r="D77" s="29">
        <v>22890445</v>
      </c>
      <c r="E77" s="29">
        <v>20283839</v>
      </c>
      <c r="F77" s="65">
        <f t="shared" si="2"/>
        <v>0.8861268970524601</v>
      </c>
      <c r="G77" s="51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6" customFormat="1" ht="12.75">
      <c r="A78" s="247"/>
      <c r="B78" s="27">
        <v>80131</v>
      </c>
      <c r="C78" s="30" t="s">
        <v>102</v>
      </c>
      <c r="D78" s="29">
        <v>574544</v>
      </c>
      <c r="E78" s="29">
        <v>0</v>
      </c>
      <c r="F78" s="65">
        <f t="shared" si="2"/>
        <v>0</v>
      </c>
      <c r="G78" s="51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7" s="3" customFormat="1" ht="12.75">
      <c r="A79" s="247"/>
      <c r="B79" s="27">
        <v>80141</v>
      </c>
      <c r="C79" s="28" t="s">
        <v>54</v>
      </c>
      <c r="D79" s="29">
        <v>10950731</v>
      </c>
      <c r="E79" s="29">
        <v>10744393</v>
      </c>
      <c r="F79" s="65">
        <f t="shared" si="2"/>
        <v>0.9811576049124027</v>
      </c>
      <c r="G79" s="51"/>
    </row>
    <row r="80" spans="1:7" s="3" customFormat="1" ht="12.75">
      <c r="A80" s="247"/>
      <c r="B80" s="27">
        <v>80146</v>
      </c>
      <c r="C80" s="28" t="s">
        <v>55</v>
      </c>
      <c r="D80" s="29">
        <v>11629150</v>
      </c>
      <c r="E80" s="29">
        <v>11456300</v>
      </c>
      <c r="F80" s="65">
        <f t="shared" si="2"/>
        <v>0.9851364889093356</v>
      </c>
      <c r="G80" s="51"/>
    </row>
    <row r="81" spans="1:7" s="3" customFormat="1" ht="12.75">
      <c r="A81" s="247"/>
      <c r="B81" s="27">
        <v>80147</v>
      </c>
      <c r="C81" s="28" t="s">
        <v>56</v>
      </c>
      <c r="D81" s="29">
        <v>10746671</v>
      </c>
      <c r="E81" s="29">
        <v>10262234</v>
      </c>
      <c r="F81" s="65">
        <f t="shared" si="2"/>
        <v>0.9549221335611744</v>
      </c>
      <c r="G81" s="51"/>
    </row>
    <row r="82" spans="1:7" s="3" customFormat="1" ht="12.75">
      <c r="A82" s="247"/>
      <c r="B82" s="27">
        <v>80195</v>
      </c>
      <c r="C82" s="28" t="s">
        <v>24</v>
      </c>
      <c r="D82" s="29">
        <v>5084865</v>
      </c>
      <c r="E82" s="29">
        <v>4512304</v>
      </c>
      <c r="F82" s="65">
        <f t="shared" si="2"/>
        <v>0.8873989771606523</v>
      </c>
      <c r="G82" s="51"/>
    </row>
    <row r="83" spans="1:17" s="26" customFormat="1" ht="12.75">
      <c r="A83" s="6">
        <v>803</v>
      </c>
      <c r="B83" s="23"/>
      <c r="C83" s="24" t="s">
        <v>103</v>
      </c>
      <c r="D83" s="25">
        <f>SUM(D84:D85)</f>
        <v>8885779</v>
      </c>
      <c r="E83" s="25">
        <f>SUM(E84:E85)</f>
        <v>5446192</v>
      </c>
      <c r="F83" s="56">
        <f aca="true" t="shared" si="3" ref="F83:F88">E83/D83</f>
        <v>0.6129110345868382</v>
      </c>
      <c r="G83" s="51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7" s="3" customFormat="1" ht="12.75">
      <c r="A84" s="247"/>
      <c r="B84" s="27">
        <v>80309</v>
      </c>
      <c r="C84" s="28" t="s">
        <v>104</v>
      </c>
      <c r="D84" s="29">
        <v>6377779</v>
      </c>
      <c r="E84" s="29">
        <v>4296192</v>
      </c>
      <c r="F84" s="48">
        <f t="shared" si="3"/>
        <v>0.673618825613117</v>
      </c>
      <c r="G84" s="51"/>
    </row>
    <row r="85" spans="1:7" s="3" customFormat="1" ht="12.75">
      <c r="A85" s="247"/>
      <c r="B85" s="27">
        <v>80395</v>
      </c>
      <c r="C85" s="28" t="s">
        <v>24</v>
      </c>
      <c r="D85" s="29">
        <v>2508000</v>
      </c>
      <c r="E85" s="29">
        <v>1150000</v>
      </c>
      <c r="F85" s="48">
        <f t="shared" si="3"/>
        <v>0.4585326953748006</v>
      </c>
      <c r="G85" s="51"/>
    </row>
    <row r="86" spans="1:17" s="26" customFormat="1" ht="12.75">
      <c r="A86" s="6">
        <v>851</v>
      </c>
      <c r="B86" s="23"/>
      <c r="C86" s="24" t="s">
        <v>57</v>
      </c>
      <c r="D86" s="25">
        <f>SUM(D87:D96)</f>
        <v>67867233</v>
      </c>
      <c r="E86" s="25">
        <f>SUM(E87:E96)</f>
        <v>37917245</v>
      </c>
      <c r="F86" s="56">
        <f t="shared" si="3"/>
        <v>0.558697376096061</v>
      </c>
      <c r="G86" s="51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7" s="3" customFormat="1" ht="12.75">
      <c r="A87" s="245"/>
      <c r="B87" s="20">
        <v>85111</v>
      </c>
      <c r="C87" s="21" t="s">
        <v>105</v>
      </c>
      <c r="D87" s="22">
        <f>61857568-150000-4000-11665925-557483-18749-79723+150000+491513+2681201+74383+936382+44065+827677+42458+100243+761787</f>
        <v>55491397</v>
      </c>
      <c r="E87" s="22">
        <v>32533824</v>
      </c>
      <c r="F87" s="48">
        <f t="shared" si="3"/>
        <v>0.5862859066244088</v>
      </c>
      <c r="G87" s="51"/>
    </row>
    <row r="88" spans="1:7" s="3" customFormat="1" ht="12.75">
      <c r="A88" s="245"/>
      <c r="B88" s="20">
        <v>85115</v>
      </c>
      <c r="C88" s="21" t="s">
        <v>106</v>
      </c>
      <c r="D88" s="22">
        <v>1059779</v>
      </c>
      <c r="E88" s="22">
        <v>256735</v>
      </c>
      <c r="F88" s="48">
        <f t="shared" si="3"/>
        <v>0.2422533377241859</v>
      </c>
      <c r="G88" s="51"/>
    </row>
    <row r="89" spans="1:7" s="3" customFormat="1" ht="12.75">
      <c r="A89" s="245"/>
      <c r="B89" s="20">
        <v>85120</v>
      </c>
      <c r="C89" s="21" t="s">
        <v>107</v>
      </c>
      <c r="D89" s="22">
        <f>5660000+86500+171400+152861+144920</f>
        <v>6215681</v>
      </c>
      <c r="E89" s="22">
        <v>2185200</v>
      </c>
      <c r="F89" s="48">
        <f aca="true" t="shared" si="4" ref="F89:F96">E89/D89</f>
        <v>0.3515624434394236</v>
      </c>
      <c r="G89" s="51"/>
    </row>
    <row r="90" spans="1:7" s="3" customFormat="1" ht="12.75">
      <c r="A90" s="245"/>
      <c r="B90" s="20">
        <v>85121</v>
      </c>
      <c r="C90" s="21" t="s">
        <v>108</v>
      </c>
      <c r="D90" s="22">
        <f>285092+41440</f>
        <v>326532</v>
      </c>
      <c r="E90" s="22">
        <v>4000</v>
      </c>
      <c r="F90" s="48">
        <f t="shared" si="4"/>
        <v>0.012249947937721264</v>
      </c>
      <c r="G90" s="51"/>
    </row>
    <row r="91" spans="1:7" s="3" customFormat="1" ht="12.75">
      <c r="A91" s="245"/>
      <c r="B91" s="20">
        <v>85141</v>
      </c>
      <c r="C91" s="21" t="s">
        <v>58</v>
      </c>
      <c r="D91" s="22">
        <v>1129601</v>
      </c>
      <c r="E91" s="22">
        <v>100000</v>
      </c>
      <c r="F91" s="48">
        <f t="shared" si="4"/>
        <v>0.08852683381123069</v>
      </c>
      <c r="G91" s="51"/>
    </row>
    <row r="92" spans="1:7" s="3" customFormat="1" ht="12.75">
      <c r="A92" s="245"/>
      <c r="B92" s="20">
        <v>85148</v>
      </c>
      <c r="C92" s="21" t="s">
        <v>109</v>
      </c>
      <c r="D92" s="22">
        <v>2360050</v>
      </c>
      <c r="E92" s="22">
        <v>2351386</v>
      </c>
      <c r="F92" s="48">
        <f t="shared" si="4"/>
        <v>0.9963288913370479</v>
      </c>
      <c r="G92" s="51"/>
    </row>
    <row r="93" spans="1:7" s="3" customFormat="1" ht="12.75">
      <c r="A93" s="245"/>
      <c r="B93" s="20">
        <v>85153</v>
      </c>
      <c r="C93" s="21" t="s">
        <v>110</v>
      </c>
      <c r="D93" s="22">
        <v>80000</v>
      </c>
      <c r="E93" s="22">
        <v>80000</v>
      </c>
      <c r="F93" s="48">
        <f t="shared" si="4"/>
        <v>1</v>
      </c>
      <c r="G93" s="51"/>
    </row>
    <row r="94" spans="1:7" s="3" customFormat="1" ht="12.75">
      <c r="A94" s="245"/>
      <c r="B94" s="20">
        <v>85154</v>
      </c>
      <c r="C94" s="21" t="s">
        <v>111</v>
      </c>
      <c r="D94" s="22">
        <f>1135109+33057</f>
        <v>1168166</v>
      </c>
      <c r="E94" s="22">
        <v>383100</v>
      </c>
      <c r="F94" s="48">
        <f t="shared" si="4"/>
        <v>0.327949966015104</v>
      </c>
      <c r="G94" s="51"/>
    </row>
    <row r="95" spans="1:9" s="3" customFormat="1" ht="25.5">
      <c r="A95" s="245"/>
      <c r="B95" s="20">
        <v>85156</v>
      </c>
      <c r="C95" s="21" t="s">
        <v>59</v>
      </c>
      <c r="D95" s="22">
        <v>26027</v>
      </c>
      <c r="E95" s="22">
        <v>13000</v>
      </c>
      <c r="F95" s="48">
        <f t="shared" si="4"/>
        <v>0.49948130787259387</v>
      </c>
      <c r="G95" s="51"/>
      <c r="I95" s="3" t="s">
        <v>156</v>
      </c>
    </row>
    <row r="96" spans="1:7" s="3" customFormat="1" ht="12.75">
      <c r="A96" s="245"/>
      <c r="B96" s="20">
        <v>85195</v>
      </c>
      <c r="C96" s="21" t="s">
        <v>24</v>
      </c>
      <c r="D96" s="22">
        <v>10000</v>
      </c>
      <c r="E96" s="22">
        <v>10000</v>
      </c>
      <c r="F96" s="48">
        <f t="shared" si="4"/>
        <v>1</v>
      </c>
      <c r="G96" s="51"/>
    </row>
    <row r="97" spans="1:17" s="26" customFormat="1" ht="12.75">
      <c r="A97" s="6">
        <v>852</v>
      </c>
      <c r="B97" s="23"/>
      <c r="C97" s="24" t="s">
        <v>60</v>
      </c>
      <c r="D97" s="25">
        <f>SUM(D98:D103)</f>
        <v>10274374</v>
      </c>
      <c r="E97" s="25">
        <f>SUM(E98:E103)</f>
        <v>15505439</v>
      </c>
      <c r="F97" s="56">
        <f aca="true" t="shared" si="5" ref="F97:F112">E97/D97</f>
        <v>1.5091371016861952</v>
      </c>
      <c r="G97" s="51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7" s="3" customFormat="1" ht="12.75">
      <c r="A98" s="228"/>
      <c r="B98" s="20">
        <v>85205</v>
      </c>
      <c r="C98" s="21" t="s">
        <v>152</v>
      </c>
      <c r="D98" s="22">
        <v>15000</v>
      </c>
      <c r="E98" s="22">
        <v>0</v>
      </c>
      <c r="F98" s="65">
        <f t="shared" si="5"/>
        <v>0</v>
      </c>
      <c r="G98" s="51"/>
    </row>
    <row r="99" spans="1:7" s="3" customFormat="1" ht="25.5">
      <c r="A99" s="229"/>
      <c r="B99" s="20">
        <v>85212</v>
      </c>
      <c r="C99" s="21" t="s">
        <v>61</v>
      </c>
      <c r="D99" s="22">
        <v>1228700</v>
      </c>
      <c r="E99" s="22">
        <v>1322220</v>
      </c>
      <c r="F99" s="48">
        <f t="shared" si="5"/>
        <v>1.0761129649222756</v>
      </c>
      <c r="G99" s="51"/>
    </row>
    <row r="100" spans="1:7" s="3" customFormat="1" ht="12.75">
      <c r="A100" s="229"/>
      <c r="B100" s="20">
        <v>85217</v>
      </c>
      <c r="C100" s="21" t="s">
        <v>62</v>
      </c>
      <c r="D100" s="22">
        <f>2150100-385800</f>
        <v>1764300</v>
      </c>
      <c r="E100" s="22">
        <v>2444270</v>
      </c>
      <c r="F100" s="48">
        <f t="shared" si="5"/>
        <v>1.3854049764779233</v>
      </c>
      <c r="G100" s="51"/>
    </row>
    <row r="101" spans="1:7" s="3" customFormat="1" ht="12.75">
      <c r="A101" s="229"/>
      <c r="B101" s="20">
        <v>85218</v>
      </c>
      <c r="C101" s="21" t="s">
        <v>63</v>
      </c>
      <c r="D101" s="22">
        <v>425511</v>
      </c>
      <c r="E101" s="22">
        <v>452514</v>
      </c>
      <c r="F101" s="48">
        <f t="shared" si="5"/>
        <v>1.0634601690673096</v>
      </c>
      <c r="G101" s="51"/>
    </row>
    <row r="102" spans="1:7" s="3" customFormat="1" ht="12.75">
      <c r="A102" s="229"/>
      <c r="B102" s="20">
        <v>85219</v>
      </c>
      <c r="C102" s="21" t="s">
        <v>112</v>
      </c>
      <c r="D102" s="22">
        <v>1331219</v>
      </c>
      <c r="E102" s="22">
        <v>1256984</v>
      </c>
      <c r="F102" s="48">
        <f t="shared" si="5"/>
        <v>0.9442353211605303</v>
      </c>
      <c r="G102" s="51"/>
    </row>
    <row r="103" spans="1:7" s="3" customFormat="1" ht="12.75">
      <c r="A103" s="230"/>
      <c r="B103" s="20">
        <v>85295</v>
      </c>
      <c r="C103" s="21" t="s">
        <v>24</v>
      </c>
      <c r="D103" s="22">
        <f>5991341-481697</f>
        <v>5509644</v>
      </c>
      <c r="E103" s="22">
        <v>10029451</v>
      </c>
      <c r="F103" s="48">
        <f t="shared" si="5"/>
        <v>1.8203446538469636</v>
      </c>
      <c r="G103" s="51"/>
    </row>
    <row r="104" spans="1:17" s="26" customFormat="1" ht="12.75">
      <c r="A104" s="6">
        <v>853</v>
      </c>
      <c r="B104" s="23"/>
      <c r="C104" s="24" t="s">
        <v>64</v>
      </c>
      <c r="D104" s="25">
        <f>SUM(D105:D107)</f>
        <v>29190192</v>
      </c>
      <c r="E104" s="25">
        <f>SUM(E105:E107)</f>
        <v>32089734</v>
      </c>
      <c r="F104" s="56">
        <f t="shared" si="5"/>
        <v>1.0993327484793523</v>
      </c>
      <c r="G104" s="51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7" s="3" customFormat="1" ht="12.75">
      <c r="A105" s="245"/>
      <c r="B105" s="20">
        <v>85311</v>
      </c>
      <c r="C105" s="21" t="s">
        <v>65</v>
      </c>
      <c r="D105" s="22">
        <v>796900</v>
      </c>
      <c r="E105" s="22">
        <v>1016130</v>
      </c>
      <c r="F105" s="48">
        <f t="shared" si="5"/>
        <v>1.275103526163885</v>
      </c>
      <c r="G105" s="51"/>
    </row>
    <row r="106" spans="1:7" s="3" customFormat="1" ht="12.75">
      <c r="A106" s="245"/>
      <c r="B106" s="20">
        <v>85332</v>
      </c>
      <c r="C106" s="21" t="s">
        <v>113</v>
      </c>
      <c r="D106" s="22">
        <f>21376423-138594+4838</f>
        <v>21242667</v>
      </c>
      <c r="E106" s="22">
        <v>23600756</v>
      </c>
      <c r="F106" s="48">
        <f t="shared" si="5"/>
        <v>1.111007200743673</v>
      </c>
      <c r="G106" s="51"/>
    </row>
    <row r="107" spans="1:7" s="3" customFormat="1" ht="12.75">
      <c r="A107" s="245"/>
      <c r="B107" s="20">
        <v>85395</v>
      </c>
      <c r="C107" s="21" t="s">
        <v>24</v>
      </c>
      <c r="D107" s="22">
        <f>7750625-600000</f>
        <v>7150625</v>
      </c>
      <c r="E107" s="22">
        <v>7472848</v>
      </c>
      <c r="F107" s="48">
        <f t="shared" si="5"/>
        <v>1.04506221484136</v>
      </c>
      <c r="G107" s="51"/>
    </row>
    <row r="108" spans="1:17" s="26" customFormat="1" ht="12.75">
      <c r="A108" s="6">
        <v>854</v>
      </c>
      <c r="B108" s="23"/>
      <c r="C108" s="24" t="s">
        <v>66</v>
      </c>
      <c r="D108" s="25">
        <f>SUM(D109:D112)</f>
        <v>14708486</v>
      </c>
      <c r="E108" s="25">
        <f>SUM(E109:E112)</f>
        <v>10209534</v>
      </c>
      <c r="F108" s="56">
        <f t="shared" si="5"/>
        <v>0.6941254184829084</v>
      </c>
      <c r="G108" s="51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7" s="3" customFormat="1" ht="12.75">
      <c r="A109" s="245"/>
      <c r="B109" s="20">
        <v>85410</v>
      </c>
      <c r="C109" s="21" t="s">
        <v>114</v>
      </c>
      <c r="D109" s="22">
        <v>674644</v>
      </c>
      <c r="E109" s="22">
        <v>714984</v>
      </c>
      <c r="F109" s="48">
        <f t="shared" si="5"/>
        <v>1.0597944990246708</v>
      </c>
      <c r="G109" s="51"/>
    </row>
    <row r="110" spans="1:7" s="3" customFormat="1" ht="12.75">
      <c r="A110" s="245"/>
      <c r="B110" s="20">
        <v>85415</v>
      </c>
      <c r="C110" s="21" t="s">
        <v>115</v>
      </c>
      <c r="D110" s="22">
        <v>7150768</v>
      </c>
      <c r="E110" s="22">
        <v>6713110</v>
      </c>
      <c r="F110" s="48">
        <f t="shared" si="5"/>
        <v>0.9387956650250714</v>
      </c>
      <c r="G110" s="51"/>
    </row>
    <row r="111" spans="1:7" s="3" customFormat="1" ht="12.75">
      <c r="A111" s="245"/>
      <c r="B111" s="20">
        <v>85420</v>
      </c>
      <c r="C111" s="21" t="s">
        <v>116</v>
      </c>
      <c r="D111" s="22">
        <v>400000</v>
      </c>
      <c r="E111" s="22">
        <v>400000</v>
      </c>
      <c r="F111" s="48">
        <f t="shared" si="5"/>
        <v>1</v>
      </c>
      <c r="G111" s="51"/>
    </row>
    <row r="112" spans="1:7" s="3" customFormat="1" ht="12.75">
      <c r="A112" s="245"/>
      <c r="B112" s="20">
        <v>85495</v>
      </c>
      <c r="C112" s="21" t="s">
        <v>24</v>
      </c>
      <c r="D112" s="22">
        <v>6483074</v>
      </c>
      <c r="E112" s="22">
        <v>2381440</v>
      </c>
      <c r="F112" s="48">
        <f t="shared" si="5"/>
        <v>0.3673319169270627</v>
      </c>
      <c r="G112" s="51"/>
    </row>
    <row r="113" spans="1:17" s="26" customFormat="1" ht="12.75">
      <c r="A113" s="6">
        <v>900</v>
      </c>
      <c r="B113" s="23"/>
      <c r="C113" s="24" t="s">
        <v>67</v>
      </c>
      <c r="D113" s="25">
        <f>SUM(D114:D119)</f>
        <v>688187</v>
      </c>
      <c r="E113" s="25">
        <f>SUM(E114:E119)</f>
        <v>3214900</v>
      </c>
      <c r="F113" s="56">
        <f aca="true" t="shared" si="6" ref="F113:F126">E113/D113</f>
        <v>4.671550029279833</v>
      </c>
      <c r="G113" s="53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7" s="3" customFormat="1" ht="12.75">
      <c r="A114" s="245"/>
      <c r="B114" s="27">
        <v>90001</v>
      </c>
      <c r="C114" s="21" t="s">
        <v>117</v>
      </c>
      <c r="D114" s="22">
        <f>3160463-2913900</f>
        <v>246563</v>
      </c>
      <c r="E114" s="22">
        <v>2913900</v>
      </c>
      <c r="F114" s="48">
        <f t="shared" si="6"/>
        <v>11.818074893637732</v>
      </c>
      <c r="G114" s="53"/>
    </row>
    <row r="115" spans="1:7" s="3" customFormat="1" ht="12.75">
      <c r="A115" s="245"/>
      <c r="B115" s="27">
        <v>90005</v>
      </c>
      <c r="C115" s="21" t="s">
        <v>118</v>
      </c>
      <c r="D115" s="22">
        <v>235000</v>
      </c>
      <c r="E115" s="22">
        <v>126000</v>
      </c>
      <c r="F115" s="48">
        <f t="shared" si="6"/>
        <v>0.5361702127659574</v>
      </c>
      <c r="G115" s="53"/>
    </row>
    <row r="116" spans="1:17" s="32" customFormat="1" ht="12.75">
      <c r="A116" s="245"/>
      <c r="B116" s="27">
        <v>90007</v>
      </c>
      <c r="C116" s="30" t="s">
        <v>68</v>
      </c>
      <c r="D116" s="31">
        <v>120000</v>
      </c>
      <c r="E116" s="22">
        <v>60000</v>
      </c>
      <c r="F116" s="48">
        <f t="shared" si="6"/>
        <v>0.5</v>
      </c>
      <c r="G116" s="5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7" s="3" customFormat="1" ht="25.5">
      <c r="A117" s="245"/>
      <c r="B117" s="20">
        <v>90019</v>
      </c>
      <c r="C117" s="21" t="s">
        <v>69</v>
      </c>
      <c r="D117" s="22">
        <v>10000</v>
      </c>
      <c r="E117" s="22">
        <v>10000</v>
      </c>
      <c r="F117" s="48">
        <f t="shared" si="6"/>
        <v>1</v>
      </c>
      <c r="G117" s="51"/>
    </row>
    <row r="118" spans="1:7" s="3" customFormat="1" ht="12.75">
      <c r="A118" s="245"/>
      <c r="B118" s="20">
        <v>90020</v>
      </c>
      <c r="C118" s="21" t="s">
        <v>70</v>
      </c>
      <c r="D118" s="22">
        <v>13624</v>
      </c>
      <c r="E118" s="22">
        <v>10000</v>
      </c>
      <c r="F118" s="48">
        <f t="shared" si="6"/>
        <v>0.733998825601879</v>
      </c>
      <c r="G118" s="51"/>
    </row>
    <row r="119" spans="1:7" s="3" customFormat="1" ht="12.75">
      <c r="A119" s="245"/>
      <c r="B119" s="20">
        <v>90095</v>
      </c>
      <c r="C119" s="21" t="s">
        <v>24</v>
      </c>
      <c r="D119" s="22">
        <v>63000</v>
      </c>
      <c r="E119" s="22">
        <v>95000</v>
      </c>
      <c r="F119" s="48">
        <f t="shared" si="6"/>
        <v>1.507936507936508</v>
      </c>
      <c r="G119" s="51"/>
    </row>
    <row r="120" spans="1:17" s="26" customFormat="1" ht="12.75">
      <c r="A120" s="10">
        <v>921</v>
      </c>
      <c r="B120" s="33"/>
      <c r="C120" s="34" t="s">
        <v>71</v>
      </c>
      <c r="D120" s="35">
        <f>SUM(D121:D131)</f>
        <v>55240876</v>
      </c>
      <c r="E120" s="35">
        <f>SUM(E121:E131)</f>
        <v>56110414</v>
      </c>
      <c r="F120" s="56">
        <f t="shared" si="6"/>
        <v>1.0157408437911086</v>
      </c>
      <c r="G120" s="51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7" s="3" customFormat="1" ht="12.75">
      <c r="A121" s="246"/>
      <c r="B121" s="27">
        <v>92105</v>
      </c>
      <c r="C121" s="30" t="s">
        <v>119</v>
      </c>
      <c r="D121" s="29">
        <v>1181000</v>
      </c>
      <c r="E121" s="29">
        <v>960000</v>
      </c>
      <c r="F121" s="48">
        <f t="shared" si="6"/>
        <v>0.8128704487722269</v>
      </c>
      <c r="G121" s="51"/>
    </row>
    <row r="122" spans="1:7" s="3" customFormat="1" ht="12.75">
      <c r="A122" s="246"/>
      <c r="B122" s="20">
        <v>92106</v>
      </c>
      <c r="C122" s="21" t="s">
        <v>72</v>
      </c>
      <c r="D122" s="22">
        <f>4124432+5000</f>
        <v>4129432</v>
      </c>
      <c r="E122" s="22">
        <v>4253000</v>
      </c>
      <c r="F122" s="48">
        <f t="shared" si="6"/>
        <v>1.029923728009082</v>
      </c>
      <c r="G122" s="51"/>
    </row>
    <row r="123" spans="1:7" s="3" customFormat="1" ht="12.75">
      <c r="A123" s="246"/>
      <c r="B123" s="20">
        <v>92108</v>
      </c>
      <c r="C123" s="21" t="s">
        <v>73</v>
      </c>
      <c r="D123" s="22">
        <v>6110000</v>
      </c>
      <c r="E123" s="22">
        <v>5810000</v>
      </c>
      <c r="F123" s="48">
        <f t="shared" si="6"/>
        <v>0.9509001636661211</v>
      </c>
      <c r="G123" s="51"/>
    </row>
    <row r="124" spans="1:7" s="3" customFormat="1" ht="12.75">
      <c r="A124" s="246"/>
      <c r="B124" s="20">
        <v>92109</v>
      </c>
      <c r="C124" s="21" t="s">
        <v>74</v>
      </c>
      <c r="D124" s="22">
        <f>4632353-6077</f>
        <v>4626276</v>
      </c>
      <c r="E124" s="22">
        <v>4393000</v>
      </c>
      <c r="F124" s="48">
        <f t="shared" si="6"/>
        <v>0.9495758575580013</v>
      </c>
      <c r="G124" s="51"/>
    </row>
    <row r="125" spans="1:7" s="3" customFormat="1" ht="12.75">
      <c r="A125" s="246"/>
      <c r="B125" s="20">
        <v>92110</v>
      </c>
      <c r="C125" s="21" t="s">
        <v>75</v>
      </c>
      <c r="D125" s="22">
        <v>386000</v>
      </c>
      <c r="E125" s="22">
        <v>400000</v>
      </c>
      <c r="F125" s="48">
        <f t="shared" si="6"/>
        <v>1.0362694300518134</v>
      </c>
      <c r="G125" s="51"/>
    </row>
    <row r="126" spans="1:7" s="3" customFormat="1" ht="12.75">
      <c r="A126" s="246"/>
      <c r="B126" s="20">
        <v>92114</v>
      </c>
      <c r="C126" s="21" t="s">
        <v>76</v>
      </c>
      <c r="D126" s="22">
        <f>1495000-18699</f>
        <v>1476301</v>
      </c>
      <c r="E126" s="22">
        <v>1299000</v>
      </c>
      <c r="F126" s="48">
        <f t="shared" si="6"/>
        <v>0.8799018628314957</v>
      </c>
      <c r="G126" s="51"/>
    </row>
    <row r="127" spans="1:7" s="3" customFormat="1" ht="12.75">
      <c r="A127" s="246"/>
      <c r="B127" s="20">
        <v>92116</v>
      </c>
      <c r="C127" s="21" t="s">
        <v>77</v>
      </c>
      <c r="D127" s="22">
        <v>7493978</v>
      </c>
      <c r="E127" s="22">
        <v>6638110</v>
      </c>
      <c r="F127" s="48">
        <f aca="true" t="shared" si="7" ref="F127:F137">E127/D127</f>
        <v>0.8857925657107614</v>
      </c>
      <c r="G127" s="51"/>
    </row>
    <row r="128" spans="1:7" s="3" customFormat="1" ht="12.75">
      <c r="A128" s="246"/>
      <c r="B128" s="20">
        <v>92118</v>
      </c>
      <c r="C128" s="21" t="s">
        <v>78</v>
      </c>
      <c r="D128" s="22">
        <f>21689216-310182-2137+2137-1001+1001</f>
        <v>21379034</v>
      </c>
      <c r="E128" s="22">
        <v>19161000</v>
      </c>
      <c r="F128" s="48">
        <f t="shared" si="7"/>
        <v>0.8962519073593316</v>
      </c>
      <c r="G128" s="51"/>
    </row>
    <row r="129" spans="1:7" s="3" customFormat="1" ht="12.75">
      <c r="A129" s="246"/>
      <c r="B129" s="20">
        <v>92120</v>
      </c>
      <c r="C129" s="21" t="s">
        <v>79</v>
      </c>
      <c r="D129" s="22">
        <v>6965000</v>
      </c>
      <c r="E129" s="22">
        <v>6929326</v>
      </c>
      <c r="F129" s="48">
        <f t="shared" si="7"/>
        <v>0.9948781048097631</v>
      </c>
      <c r="G129" s="51"/>
    </row>
    <row r="130" spans="1:7" s="3" customFormat="1" ht="12.75">
      <c r="A130" s="246"/>
      <c r="B130" s="20">
        <v>92178</v>
      </c>
      <c r="C130" s="21" t="s">
        <v>23</v>
      </c>
      <c r="D130" s="22">
        <v>567940</v>
      </c>
      <c r="E130" s="22">
        <v>0</v>
      </c>
      <c r="F130" s="48">
        <f t="shared" si="7"/>
        <v>0</v>
      </c>
      <c r="G130" s="51"/>
    </row>
    <row r="131" spans="1:7" s="3" customFormat="1" ht="12.75">
      <c r="A131" s="246"/>
      <c r="B131" s="20">
        <v>92195</v>
      </c>
      <c r="C131" s="21" t="s">
        <v>24</v>
      </c>
      <c r="D131" s="22">
        <f>930915-5000</f>
        <v>925915</v>
      </c>
      <c r="E131" s="22">
        <v>6266978</v>
      </c>
      <c r="F131" s="48">
        <f t="shared" si="7"/>
        <v>6.768416107310066</v>
      </c>
      <c r="G131" s="51"/>
    </row>
    <row r="132" spans="1:17" s="26" customFormat="1" ht="25.5">
      <c r="A132" s="6">
        <v>925</v>
      </c>
      <c r="B132" s="36"/>
      <c r="C132" s="37" t="s">
        <v>80</v>
      </c>
      <c r="D132" s="35">
        <f>SUM(D133)</f>
        <v>752000</v>
      </c>
      <c r="E132" s="35">
        <f>SUM(E133)</f>
        <v>963458</v>
      </c>
      <c r="F132" s="56">
        <f t="shared" si="7"/>
        <v>1.2811941489361702</v>
      </c>
      <c r="G132" s="51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7" s="3" customFormat="1" ht="12.75">
      <c r="A133" s="12"/>
      <c r="B133" s="27">
        <v>92502</v>
      </c>
      <c r="C133" s="28" t="s">
        <v>81</v>
      </c>
      <c r="D133" s="29">
        <v>752000</v>
      </c>
      <c r="E133" s="29">
        <v>963458</v>
      </c>
      <c r="F133" s="48">
        <f t="shared" si="7"/>
        <v>1.2811941489361702</v>
      </c>
      <c r="G133" s="51"/>
    </row>
    <row r="134" spans="1:17" s="26" customFormat="1" ht="12.75">
      <c r="A134" s="6">
        <v>926</v>
      </c>
      <c r="B134" s="36"/>
      <c r="C134" s="37" t="s">
        <v>120</v>
      </c>
      <c r="D134" s="35">
        <f>SUM(D135:D136)</f>
        <v>15457500</v>
      </c>
      <c r="E134" s="35">
        <f>SUM(E135:E136)</f>
        <v>16293000</v>
      </c>
      <c r="F134" s="56">
        <f t="shared" si="7"/>
        <v>1.0540514313440077</v>
      </c>
      <c r="G134" s="51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7" s="3" customFormat="1" ht="12.75">
      <c r="A135" s="228"/>
      <c r="B135" s="27">
        <v>92601</v>
      </c>
      <c r="C135" s="28" t="s">
        <v>121</v>
      </c>
      <c r="D135" s="29">
        <v>11890000</v>
      </c>
      <c r="E135" s="29">
        <v>11988000</v>
      </c>
      <c r="F135" s="48">
        <f t="shared" si="7"/>
        <v>1.008242220353238</v>
      </c>
      <c r="G135" s="51"/>
    </row>
    <row r="136" spans="1:7" s="3" customFormat="1" ht="12.75">
      <c r="A136" s="229"/>
      <c r="B136" s="27">
        <v>92605</v>
      </c>
      <c r="C136" s="28" t="s">
        <v>122</v>
      </c>
      <c r="D136" s="29">
        <v>3567500</v>
      </c>
      <c r="E136" s="29">
        <v>4305000</v>
      </c>
      <c r="F136" s="48">
        <f t="shared" si="7"/>
        <v>1.2067274001401542</v>
      </c>
      <c r="G136" s="51"/>
    </row>
    <row r="137" spans="1:17" ht="27.75" customHeight="1">
      <c r="A137" s="244" t="s">
        <v>123</v>
      </c>
      <c r="B137" s="244"/>
      <c r="C137" s="244"/>
      <c r="D137" s="70">
        <f>SUM(D6,D16,D18,D22,D26,D28,D39,D41,D43,D49,D51,D53,D61,D63,D68,D71,D73,D83,D86,D97,D104,D108,D113,D120,D132,D134)</f>
        <v>1075660624</v>
      </c>
      <c r="E137" s="70">
        <f>SUM(E6,E16,E18,E22,E26,E28,E39,E41,E43,E49,E51,E53,E61,E63,E68,E71,E73,E83,E86,E97,E104,E108,E113,E120,E132,E134)</f>
        <v>1215575774</v>
      </c>
      <c r="F137" s="71">
        <f t="shared" si="7"/>
        <v>1.130073693206046</v>
      </c>
      <c r="G137" s="51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9" ht="12.75">
      <c r="E139" s="40"/>
    </row>
    <row r="140" spans="3:5" ht="12.75">
      <c r="C140" s="42"/>
      <c r="D140" s="42"/>
      <c r="E140" s="42"/>
    </row>
    <row r="141" spans="3:5" ht="12.75">
      <c r="C141" s="42"/>
      <c r="D141" s="42"/>
      <c r="E141" s="42"/>
    </row>
    <row r="142" spans="3:5" ht="12.75">
      <c r="C142" s="42"/>
      <c r="D142" s="42"/>
      <c r="E142" s="42"/>
    </row>
    <row r="143" spans="3:5" ht="12.75">
      <c r="C143" s="42"/>
      <c r="D143" s="42"/>
      <c r="E143" s="42"/>
    </row>
    <row r="144" ht="12.75">
      <c r="J144" s="43"/>
    </row>
    <row r="146" ht="12.75">
      <c r="H146" s="43"/>
    </row>
    <row r="147" spans="6:8" ht="12.75">
      <c r="F147" s="44"/>
      <c r="H147" s="43"/>
    </row>
    <row r="148" spans="8:10" ht="12.75">
      <c r="H148" s="43"/>
      <c r="J148" s="43"/>
    </row>
    <row r="149" spans="6:10" ht="12.75">
      <c r="F149" s="44"/>
      <c r="H149" s="43"/>
      <c r="J149" s="43"/>
    </row>
    <row r="152" ht="12.75">
      <c r="H152" s="43"/>
    </row>
    <row r="153" spans="3:8" ht="12.75">
      <c r="C153" s="40"/>
      <c r="D153" s="40"/>
      <c r="E153" s="40"/>
      <c r="H153" s="43"/>
    </row>
    <row r="155" spans="1:13" s="39" customFormat="1" ht="12.75">
      <c r="A155" s="38"/>
      <c r="B155" s="38"/>
      <c r="F155" s="41"/>
      <c r="H155" s="1"/>
      <c r="I155" s="1"/>
      <c r="J155" s="1"/>
      <c r="K155" s="1"/>
      <c r="L155" s="1"/>
      <c r="M155" s="1"/>
    </row>
    <row r="156" spans="1:13" s="39" customFormat="1" ht="12.75">
      <c r="A156" s="38"/>
      <c r="B156" s="38"/>
      <c r="F156" s="41"/>
      <c r="H156" s="1"/>
      <c r="I156" s="1"/>
      <c r="J156" s="1"/>
      <c r="K156" s="1"/>
      <c r="L156" s="1"/>
      <c r="M156" s="1"/>
    </row>
    <row r="157" spans="1:13" s="39" customFormat="1" ht="12.75">
      <c r="A157" s="38"/>
      <c r="B157" s="38"/>
      <c r="F157" s="41"/>
      <c r="H157" s="1"/>
      <c r="I157" s="1"/>
      <c r="J157" s="1"/>
      <c r="K157" s="1"/>
      <c r="L157" s="1"/>
      <c r="M157" s="1"/>
    </row>
    <row r="158" spans="1:13" s="39" customFormat="1" ht="12.75">
      <c r="A158" s="38"/>
      <c r="B158" s="38"/>
      <c r="F158" s="44"/>
      <c r="H158" s="1"/>
      <c r="I158" s="1"/>
      <c r="J158" s="1"/>
      <c r="K158" s="1"/>
      <c r="L158" s="1"/>
      <c r="M158" s="1"/>
    </row>
    <row r="159" spans="1:13" s="39" customFormat="1" ht="12.75">
      <c r="A159" s="38"/>
      <c r="B159" s="38"/>
      <c r="F159" s="44"/>
      <c r="H159" s="1"/>
      <c r="I159" s="1"/>
      <c r="J159" s="1"/>
      <c r="K159" s="1"/>
      <c r="L159" s="1"/>
      <c r="M159" s="1"/>
    </row>
    <row r="160" spans="1:13" s="39" customFormat="1" ht="12.75">
      <c r="A160" s="38"/>
      <c r="B160" s="38"/>
      <c r="F160" s="44"/>
      <c r="H160" s="1"/>
      <c r="I160" s="1"/>
      <c r="J160" s="1"/>
      <c r="K160" s="1"/>
      <c r="L160" s="1"/>
      <c r="M160" s="1"/>
    </row>
    <row r="161" spans="1:13" s="39" customFormat="1" ht="12.75">
      <c r="A161" s="38"/>
      <c r="B161" s="38"/>
      <c r="F161" s="45"/>
      <c r="H161" s="1"/>
      <c r="I161" s="1"/>
      <c r="J161" s="1"/>
      <c r="K161" s="1"/>
      <c r="L161" s="1"/>
      <c r="M161" s="1"/>
    </row>
    <row r="162" spans="1:13" s="39" customFormat="1" ht="12.75">
      <c r="A162" s="38"/>
      <c r="B162" s="38"/>
      <c r="F162" s="44"/>
      <c r="H162" s="1"/>
      <c r="I162" s="1"/>
      <c r="J162" s="1"/>
      <c r="K162" s="1"/>
      <c r="L162" s="1"/>
      <c r="M162" s="1"/>
    </row>
    <row r="163" spans="1:13" s="39" customFormat="1" ht="12.75">
      <c r="A163" s="38"/>
      <c r="B163" s="38"/>
      <c r="F163" s="41"/>
      <c r="H163" s="1"/>
      <c r="I163" s="1"/>
      <c r="J163" s="1"/>
      <c r="K163" s="1"/>
      <c r="L163" s="1"/>
      <c r="M163" s="1"/>
    </row>
    <row r="165" spans="1:13" s="39" customFormat="1" ht="12.75">
      <c r="A165" s="38"/>
      <c r="B165" s="38"/>
      <c r="F165" s="44"/>
      <c r="H165" s="1"/>
      <c r="I165" s="1"/>
      <c r="J165" s="1"/>
      <c r="K165" s="1"/>
      <c r="L165" s="1"/>
      <c r="M165" s="1"/>
    </row>
    <row r="166" spans="1:13" s="39" customFormat="1" ht="12.75">
      <c r="A166" s="38"/>
      <c r="B166" s="38"/>
      <c r="F166" s="41"/>
      <c r="H166" s="1"/>
      <c r="I166" s="1"/>
      <c r="J166" s="1"/>
      <c r="K166" s="1"/>
      <c r="L166" s="1"/>
      <c r="M166" s="1"/>
    </row>
    <row r="167" spans="1:13" s="39" customFormat="1" ht="12.75">
      <c r="A167" s="38"/>
      <c r="B167" s="38"/>
      <c r="F167" s="44"/>
      <c r="H167" s="1"/>
      <c r="I167" s="1"/>
      <c r="J167" s="1"/>
      <c r="K167" s="1"/>
      <c r="L167" s="1"/>
      <c r="M167" s="1"/>
    </row>
    <row r="168" spans="1:13" s="39" customFormat="1" ht="12.75">
      <c r="A168" s="38"/>
      <c r="B168" s="38"/>
      <c r="F168" s="44"/>
      <c r="H168" s="1"/>
      <c r="I168" s="1"/>
      <c r="J168" s="1"/>
      <c r="K168" s="1"/>
      <c r="L168" s="1"/>
      <c r="M168" s="1"/>
    </row>
  </sheetData>
  <sheetProtection/>
  <mergeCells count="25">
    <mergeCell ref="D3:D4"/>
    <mergeCell ref="E3:E4"/>
    <mergeCell ref="F3:F4"/>
    <mergeCell ref="A1:F2"/>
    <mergeCell ref="A98:A103"/>
    <mergeCell ref="A74:A82"/>
    <mergeCell ref="A84:A85"/>
    <mergeCell ref="A64:A67"/>
    <mergeCell ref="B3:B4"/>
    <mergeCell ref="C3:C4"/>
    <mergeCell ref="A7:A15"/>
    <mergeCell ref="A19:A21"/>
    <mergeCell ref="A3:A4"/>
    <mergeCell ref="A137:C137"/>
    <mergeCell ref="A109:A112"/>
    <mergeCell ref="A114:A119"/>
    <mergeCell ref="A121:A131"/>
    <mergeCell ref="A23:A25"/>
    <mergeCell ref="A105:A107"/>
    <mergeCell ref="A29:A38"/>
    <mergeCell ref="A44:A48"/>
    <mergeCell ref="A54:A60"/>
    <mergeCell ref="A87:A96"/>
    <mergeCell ref="A69:A70"/>
    <mergeCell ref="A135:A136"/>
  </mergeCells>
  <printOptions horizontalCentered="1"/>
  <pageMargins left="0.5905511811023623" right="0" top="0.7086614173228347" bottom="0.4330708661417323" header="0.5118110236220472" footer="0.3937007874015748"/>
  <pageSetup horizontalDpi="600" verticalDpi="600" orientation="portrait" paperSize="9" scale="73" r:id="rId1"/>
  <rowBreaks count="1" manualBreakCount="1"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SheetLayoutView="100" zoomScalePageLayoutView="0" workbookViewId="0" topLeftCell="A10">
      <selection activeCell="D13" sqref="D13"/>
    </sheetView>
  </sheetViews>
  <sheetFormatPr defaultColWidth="9.140625" defaultRowHeight="12.75"/>
  <cols>
    <col min="1" max="1" width="6.00390625" style="121" bestFit="1" customWidth="1"/>
    <col min="2" max="2" width="9.00390625" style="121" bestFit="1" customWidth="1"/>
    <col min="3" max="3" width="74.00390625" style="120" customWidth="1"/>
    <col min="4" max="4" width="14.8515625" style="119" bestFit="1" customWidth="1"/>
    <col min="5" max="5" width="35.00390625" style="118" bestFit="1" customWidth="1"/>
    <col min="6" max="6" width="11.140625" style="0" bestFit="1" customWidth="1"/>
    <col min="7" max="7" width="43.140625" style="0" customWidth="1"/>
  </cols>
  <sheetData>
    <row r="1" spans="1:5" ht="51" customHeight="1">
      <c r="A1" s="263" t="s">
        <v>176</v>
      </c>
      <c r="B1" s="263"/>
      <c r="C1" s="263"/>
      <c r="D1" s="263"/>
      <c r="E1" s="263"/>
    </row>
    <row r="2" spans="1:5" s="121" customFormat="1" ht="28.5" customHeight="1">
      <c r="A2" s="151" t="s">
        <v>0</v>
      </c>
      <c r="B2" s="151" t="s">
        <v>175</v>
      </c>
      <c r="C2" s="151" t="s">
        <v>174</v>
      </c>
      <c r="D2" s="151" t="s">
        <v>173</v>
      </c>
      <c r="E2" s="150" t="s">
        <v>314</v>
      </c>
    </row>
    <row r="3" spans="1:5" s="121" customFormat="1" ht="12.75">
      <c r="A3" s="261" t="s">
        <v>1</v>
      </c>
      <c r="B3" s="255"/>
      <c r="C3" s="255"/>
      <c r="D3" s="145">
        <f>SUM(D4:D6)</f>
        <v>4429500</v>
      </c>
      <c r="E3" s="149"/>
    </row>
    <row r="4" spans="1:5" s="121" customFormat="1" ht="25.5">
      <c r="A4" s="261"/>
      <c r="B4" s="148" t="s">
        <v>4</v>
      </c>
      <c r="C4" s="147" t="s">
        <v>319</v>
      </c>
      <c r="D4" s="146">
        <v>360000</v>
      </c>
      <c r="E4" s="206" t="s">
        <v>172</v>
      </c>
    </row>
    <row r="5" spans="1:5" s="121" customFormat="1" ht="14.25" customHeight="1">
      <c r="A5" s="261"/>
      <c r="B5" s="148" t="s">
        <v>3</v>
      </c>
      <c r="C5" s="147" t="s">
        <v>318</v>
      </c>
      <c r="D5" s="146">
        <v>139500</v>
      </c>
      <c r="E5" s="265" t="s">
        <v>164</v>
      </c>
    </row>
    <row r="6" spans="1:5" s="131" customFormat="1" ht="33.75" customHeight="1">
      <c r="A6" s="261"/>
      <c r="B6" s="148" t="s">
        <v>2</v>
      </c>
      <c r="C6" s="135" t="s">
        <v>323</v>
      </c>
      <c r="D6" s="134">
        <v>3930000</v>
      </c>
      <c r="E6" s="265"/>
    </row>
    <row r="7" spans="1:5" s="131" customFormat="1" ht="12.75">
      <c r="A7" s="261" t="s">
        <v>171</v>
      </c>
      <c r="B7" s="256"/>
      <c r="C7" s="256"/>
      <c r="D7" s="137">
        <f>SUM(D8:D10)</f>
        <v>25529764</v>
      </c>
      <c r="E7" s="136"/>
    </row>
    <row r="8" spans="1:5" s="131" customFormat="1" ht="25.5">
      <c r="A8" s="261"/>
      <c r="B8" s="148" t="s">
        <v>170</v>
      </c>
      <c r="C8" s="147" t="s">
        <v>169</v>
      </c>
      <c r="D8" s="146">
        <v>2657812</v>
      </c>
      <c r="E8" s="206" t="s">
        <v>165</v>
      </c>
    </row>
    <row r="9" spans="1:5" s="131" customFormat="1" ht="25.5">
      <c r="A9" s="261"/>
      <c r="B9" s="266" t="s">
        <v>168</v>
      </c>
      <c r="C9" s="135" t="s">
        <v>325</v>
      </c>
      <c r="D9" s="146">
        <v>22471952</v>
      </c>
      <c r="E9" s="265" t="s">
        <v>247</v>
      </c>
    </row>
    <row r="10" spans="1:5" s="131" customFormat="1" ht="12.75">
      <c r="A10" s="261"/>
      <c r="B10" s="266"/>
      <c r="C10" s="135" t="s">
        <v>167</v>
      </c>
      <c r="D10" s="134">
        <v>400000</v>
      </c>
      <c r="E10" s="265"/>
    </row>
    <row r="11" spans="1:5" s="131" customFormat="1" ht="12.75">
      <c r="A11" s="261" t="s">
        <v>166</v>
      </c>
      <c r="B11" s="256"/>
      <c r="C11" s="256"/>
      <c r="D11" s="137">
        <f>SUM(D12:D12)</f>
        <v>100000</v>
      </c>
      <c r="E11" s="136"/>
    </row>
    <row r="12" spans="1:5" s="131" customFormat="1" ht="25.5">
      <c r="A12" s="261"/>
      <c r="B12" s="205">
        <v>70005</v>
      </c>
      <c r="C12" s="135" t="s">
        <v>317</v>
      </c>
      <c r="D12" s="134">
        <v>100000</v>
      </c>
      <c r="E12" s="206" t="s">
        <v>165</v>
      </c>
    </row>
    <row r="13" spans="1:5" s="131" customFormat="1" ht="12.75">
      <c r="A13" s="259">
        <v>710</v>
      </c>
      <c r="B13" s="264"/>
      <c r="C13" s="264"/>
      <c r="D13" s="145">
        <f>SUM(D14:D15)</f>
        <v>225000</v>
      </c>
      <c r="E13" s="144"/>
    </row>
    <row r="14" spans="1:5" s="131" customFormat="1" ht="25.5">
      <c r="A14" s="259"/>
      <c r="B14" s="143">
        <v>71003</v>
      </c>
      <c r="C14" s="142" t="s">
        <v>263</v>
      </c>
      <c r="D14" s="141">
        <v>25000</v>
      </c>
      <c r="E14" s="206" t="s">
        <v>249</v>
      </c>
    </row>
    <row r="15" spans="1:5" s="131" customFormat="1" ht="40.5" customHeight="1">
      <c r="A15" s="259"/>
      <c r="B15" s="143">
        <v>71095</v>
      </c>
      <c r="C15" s="142" t="s">
        <v>316</v>
      </c>
      <c r="D15" s="141">
        <v>200000</v>
      </c>
      <c r="E15" s="206" t="s">
        <v>164</v>
      </c>
    </row>
    <row r="16" spans="1:5" s="131" customFormat="1" ht="12.75">
      <c r="A16" s="259">
        <v>801</v>
      </c>
      <c r="B16" s="264"/>
      <c r="C16" s="264"/>
      <c r="D16" s="145">
        <f>SUM(D17:D23)</f>
        <v>533248</v>
      </c>
      <c r="E16" s="144"/>
    </row>
    <row r="17" spans="1:5" s="131" customFormat="1" ht="12.75">
      <c r="A17" s="259"/>
      <c r="B17" s="258" t="s">
        <v>250</v>
      </c>
      <c r="C17" s="211" t="s">
        <v>251</v>
      </c>
      <c r="D17" s="212">
        <v>17000</v>
      </c>
      <c r="E17" s="224" t="s">
        <v>252</v>
      </c>
    </row>
    <row r="18" spans="1:5" s="131" customFormat="1" ht="15.75" customHeight="1">
      <c r="A18" s="259"/>
      <c r="B18" s="258"/>
      <c r="C18" s="213" t="s">
        <v>253</v>
      </c>
      <c r="D18" s="141">
        <v>21100</v>
      </c>
      <c r="E18" s="224" t="s">
        <v>254</v>
      </c>
    </row>
    <row r="19" spans="1:5" s="131" customFormat="1" ht="25.5">
      <c r="A19" s="259"/>
      <c r="B19" s="258"/>
      <c r="C19" s="213" t="s">
        <v>255</v>
      </c>
      <c r="D19" s="141">
        <v>338000</v>
      </c>
      <c r="E19" s="224" t="s">
        <v>264</v>
      </c>
    </row>
    <row r="20" spans="1:5" s="131" customFormat="1" ht="12.75">
      <c r="A20" s="259"/>
      <c r="B20" s="258"/>
      <c r="C20" s="213" t="s">
        <v>256</v>
      </c>
      <c r="D20" s="141">
        <v>26000</v>
      </c>
      <c r="E20" s="224" t="s">
        <v>257</v>
      </c>
    </row>
    <row r="21" spans="1:5" s="131" customFormat="1" ht="12.75">
      <c r="A21" s="259"/>
      <c r="B21" s="258"/>
      <c r="C21" s="213" t="s">
        <v>258</v>
      </c>
      <c r="D21" s="141">
        <v>13000</v>
      </c>
      <c r="E21" s="224" t="s">
        <v>259</v>
      </c>
    </row>
    <row r="22" spans="1:5" s="131" customFormat="1" ht="25.5">
      <c r="A22" s="259"/>
      <c r="B22" s="258"/>
      <c r="C22" s="213" t="s">
        <v>260</v>
      </c>
      <c r="D22" s="141">
        <v>50148</v>
      </c>
      <c r="E22" s="224" t="s">
        <v>265</v>
      </c>
    </row>
    <row r="23" spans="1:5" s="131" customFormat="1" ht="25.5">
      <c r="A23" s="259"/>
      <c r="B23" s="225" t="s">
        <v>261</v>
      </c>
      <c r="C23" s="213" t="s">
        <v>262</v>
      </c>
      <c r="D23" s="141">
        <v>68000</v>
      </c>
      <c r="E23" s="224" t="s">
        <v>266</v>
      </c>
    </row>
    <row r="24" spans="1:5" s="131" customFormat="1" ht="12.75">
      <c r="A24" s="257" t="s">
        <v>163</v>
      </c>
      <c r="B24" s="255"/>
      <c r="C24" s="255"/>
      <c r="D24" s="140">
        <f>SUM(D25)</f>
        <v>140000</v>
      </c>
      <c r="E24" s="139"/>
    </row>
    <row r="25" spans="1:5" s="131" customFormat="1" ht="27" customHeight="1">
      <c r="A25" s="257"/>
      <c r="B25" s="138" t="s">
        <v>162</v>
      </c>
      <c r="C25" s="135" t="s">
        <v>320</v>
      </c>
      <c r="D25" s="134">
        <v>140000</v>
      </c>
      <c r="E25" s="206" t="s">
        <v>161</v>
      </c>
    </row>
    <row r="26" spans="1:5" s="131" customFormat="1" ht="27" customHeight="1">
      <c r="A26" s="261" t="s">
        <v>160</v>
      </c>
      <c r="B26" s="256"/>
      <c r="C26" s="256"/>
      <c r="D26" s="137">
        <f>SUM(D27:D28)</f>
        <v>22750</v>
      </c>
      <c r="E26" s="136"/>
    </row>
    <row r="27" spans="1:5" s="131" customFormat="1" ht="28.5" customHeight="1">
      <c r="A27" s="261"/>
      <c r="B27" s="262">
        <v>92502</v>
      </c>
      <c r="C27" s="135" t="s">
        <v>321</v>
      </c>
      <c r="D27" s="134">
        <v>16000</v>
      </c>
      <c r="E27" s="206" t="s">
        <v>159</v>
      </c>
    </row>
    <row r="28" spans="1:5" s="131" customFormat="1" ht="31.5" customHeight="1">
      <c r="A28" s="261"/>
      <c r="B28" s="262"/>
      <c r="C28" s="135" t="s">
        <v>322</v>
      </c>
      <c r="D28" s="134">
        <v>6750</v>
      </c>
      <c r="E28" s="206" t="s">
        <v>158</v>
      </c>
    </row>
    <row r="29" spans="1:5" s="131" customFormat="1" ht="27.75" customHeight="1">
      <c r="A29" s="260" t="s">
        <v>157</v>
      </c>
      <c r="B29" s="260"/>
      <c r="C29" s="260"/>
      <c r="D29" s="133">
        <f>SUM(D26,D24,D16,D13,D11,D7,D3)</f>
        <v>30980262</v>
      </c>
      <c r="E29" s="132"/>
    </row>
    <row r="30" spans="3:4" ht="12.75">
      <c r="C30" s="130"/>
      <c r="D30" s="129"/>
    </row>
    <row r="32" spans="3:4" ht="17.25" customHeight="1">
      <c r="C32" s="128"/>
      <c r="D32" s="127"/>
    </row>
    <row r="33" spans="3:4" ht="18" customHeight="1">
      <c r="C33" s="124"/>
      <c r="D33" s="126"/>
    </row>
    <row r="34" spans="3:4" ht="16.5" customHeight="1">
      <c r="C34" s="124"/>
      <c r="D34" s="126"/>
    </row>
    <row r="35" spans="2:4" ht="18" customHeight="1">
      <c r="B35" s="125"/>
      <c r="C35" s="124"/>
      <c r="D35" s="123"/>
    </row>
    <row r="36" spans="1:7" s="119" customFormat="1" ht="12.75">
      <c r="A36" s="121"/>
      <c r="B36" s="121"/>
      <c r="C36" s="122"/>
      <c r="E36" s="118"/>
      <c r="F36"/>
      <c r="G36"/>
    </row>
  </sheetData>
  <sheetProtection/>
  <mergeCells count="21">
    <mergeCell ref="A29:C29"/>
    <mergeCell ref="A26:A28"/>
    <mergeCell ref="B27:B28"/>
    <mergeCell ref="A1:E1"/>
    <mergeCell ref="A3:A6"/>
    <mergeCell ref="B3:C3"/>
    <mergeCell ref="B13:C13"/>
    <mergeCell ref="A11:A12"/>
    <mergeCell ref="E5:E6"/>
    <mergeCell ref="A13:A15"/>
    <mergeCell ref="A7:A10"/>
    <mergeCell ref="B9:B10"/>
    <mergeCell ref="E9:E10"/>
    <mergeCell ref="B16:C16"/>
    <mergeCell ref="B7:C7"/>
    <mergeCell ref="B11:C11"/>
    <mergeCell ref="B24:C24"/>
    <mergeCell ref="B26:C26"/>
    <mergeCell ref="A24:A25"/>
    <mergeCell ref="B17:B22"/>
    <mergeCell ref="A16:A23"/>
  </mergeCells>
  <printOptions horizontalCentered="1"/>
  <pageMargins left="0.1968503937007874" right="0.1968503937007874" top="0.7874015748031497" bottom="0.1968503937007874" header="0.4330708661417323" footer="0.1968503937007874"/>
  <pageSetup horizontalDpi="600" verticalDpi="600" orientation="landscape" paperSize="9" scale="10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view="pageBreakPreview" zoomScale="110" zoomScaleSheetLayoutView="110" zoomScalePageLayoutView="0" workbookViewId="0" topLeftCell="A40">
      <selection activeCell="C44" sqref="C44"/>
    </sheetView>
  </sheetViews>
  <sheetFormatPr defaultColWidth="9.140625" defaultRowHeight="12.75"/>
  <cols>
    <col min="1" max="1" width="6.00390625" style="121" bestFit="1" customWidth="1"/>
    <col min="2" max="2" width="9.00390625" style="121" bestFit="1" customWidth="1"/>
    <col min="3" max="3" width="61.421875" style="120" customWidth="1"/>
    <col min="4" max="4" width="14.8515625" style="120" customWidth="1"/>
    <col min="5" max="5" width="14.8515625" style="119" bestFit="1" customWidth="1"/>
    <col min="6" max="6" width="34.8515625" style="118" customWidth="1"/>
    <col min="7" max="7" width="11.140625" style="0" bestFit="1" customWidth="1"/>
    <col min="8" max="8" width="43.140625" style="0" customWidth="1"/>
  </cols>
  <sheetData>
    <row r="1" spans="1:6" ht="36" customHeight="1">
      <c r="A1" s="263" t="s">
        <v>208</v>
      </c>
      <c r="B1" s="263"/>
      <c r="C1" s="263"/>
      <c r="D1" s="263"/>
      <c r="E1" s="263"/>
      <c r="F1" s="263"/>
    </row>
    <row r="2" spans="1:6" s="121" customFormat="1" ht="54" customHeight="1">
      <c r="A2" s="188" t="s">
        <v>0</v>
      </c>
      <c r="B2" s="188" t="s">
        <v>175</v>
      </c>
      <c r="C2" s="188" t="s">
        <v>207</v>
      </c>
      <c r="D2" s="188" t="s">
        <v>206</v>
      </c>
      <c r="E2" s="187" t="s">
        <v>205</v>
      </c>
      <c r="F2" s="187" t="s">
        <v>331</v>
      </c>
    </row>
    <row r="3" spans="1:6" s="121" customFormat="1" ht="12.75">
      <c r="A3" s="283" t="s">
        <v>1</v>
      </c>
      <c r="B3" s="287"/>
      <c r="C3" s="287"/>
      <c r="D3" s="161"/>
      <c r="E3" s="166">
        <f>SUM(E4:E6)</f>
        <v>40451830</v>
      </c>
      <c r="F3" s="186"/>
    </row>
    <row r="4" spans="1:6" s="121" customFormat="1" ht="24">
      <c r="A4" s="283"/>
      <c r="B4" s="183" t="s">
        <v>4</v>
      </c>
      <c r="C4" s="170" t="s">
        <v>204</v>
      </c>
      <c r="D4" s="163" t="s">
        <v>203</v>
      </c>
      <c r="E4" s="168">
        <v>90000</v>
      </c>
      <c r="F4" s="156" t="s">
        <v>202</v>
      </c>
    </row>
    <row r="5" spans="1:6" s="121" customFormat="1" ht="12.75">
      <c r="A5" s="283"/>
      <c r="B5" s="183" t="s">
        <v>2</v>
      </c>
      <c r="C5" s="289" t="s">
        <v>201</v>
      </c>
      <c r="D5" s="169" t="s">
        <v>200</v>
      </c>
      <c r="E5" s="168">
        <v>23710000</v>
      </c>
      <c r="F5" s="275" t="s">
        <v>199</v>
      </c>
    </row>
    <row r="6" spans="1:6" s="131" customFormat="1" ht="12.75">
      <c r="A6" s="283"/>
      <c r="B6" s="183" t="s">
        <v>6</v>
      </c>
      <c r="C6" s="289"/>
      <c r="D6" s="156" t="s">
        <v>198</v>
      </c>
      <c r="E6" s="155">
        <v>16651830</v>
      </c>
      <c r="F6" s="276"/>
    </row>
    <row r="7" spans="1:6" s="131" customFormat="1" ht="12.75">
      <c r="A7" s="283" t="s">
        <v>197</v>
      </c>
      <c r="B7" s="287"/>
      <c r="C7" s="287"/>
      <c r="D7" s="161"/>
      <c r="E7" s="166">
        <f>SUM(E8:E8)</f>
        <v>58856793</v>
      </c>
      <c r="F7" s="186"/>
    </row>
    <row r="8" spans="1:6" s="131" customFormat="1" ht="36">
      <c r="A8" s="283"/>
      <c r="B8" s="216" t="s">
        <v>288</v>
      </c>
      <c r="C8" s="154" t="s">
        <v>184</v>
      </c>
      <c r="D8" s="204" t="s">
        <v>244</v>
      </c>
      <c r="E8" s="155">
        <v>58856793</v>
      </c>
      <c r="F8" s="200" t="s">
        <v>165</v>
      </c>
    </row>
    <row r="9" spans="1:6" s="131" customFormat="1" ht="12.75">
      <c r="A9" s="283" t="s">
        <v>196</v>
      </c>
      <c r="B9" s="175"/>
      <c r="C9" s="174"/>
      <c r="D9" s="172"/>
      <c r="E9" s="173">
        <f>SUM(E10:E12)</f>
        <v>1308204</v>
      </c>
      <c r="F9" s="172"/>
    </row>
    <row r="10" spans="1:6" s="131" customFormat="1" ht="26.25" customHeight="1">
      <c r="A10" s="283"/>
      <c r="B10" s="200">
        <v>40001</v>
      </c>
      <c r="C10" s="154" t="s">
        <v>184</v>
      </c>
      <c r="D10" s="204" t="s">
        <v>244</v>
      </c>
      <c r="E10" s="155">
        <v>827574</v>
      </c>
      <c r="F10" s="274" t="s">
        <v>165</v>
      </c>
    </row>
    <row r="11" spans="1:6" s="131" customFormat="1" ht="25.5" customHeight="1">
      <c r="A11" s="283"/>
      <c r="B11" s="200">
        <v>40003</v>
      </c>
      <c r="C11" s="154" t="s">
        <v>184</v>
      </c>
      <c r="D11" s="204" t="s">
        <v>244</v>
      </c>
      <c r="E11" s="155">
        <v>6530</v>
      </c>
      <c r="F11" s="274"/>
    </row>
    <row r="12" spans="1:6" s="131" customFormat="1" ht="24.75" customHeight="1">
      <c r="A12" s="283"/>
      <c r="B12" s="200">
        <v>40095</v>
      </c>
      <c r="C12" s="154" t="s">
        <v>184</v>
      </c>
      <c r="D12" s="204" t="s">
        <v>244</v>
      </c>
      <c r="E12" s="155">
        <v>474100</v>
      </c>
      <c r="F12" s="274"/>
    </row>
    <row r="13" spans="1:6" s="131" customFormat="1" ht="12.75">
      <c r="A13" s="283" t="s">
        <v>195</v>
      </c>
      <c r="B13" s="178"/>
      <c r="C13" s="174"/>
      <c r="D13" s="174"/>
      <c r="E13" s="173">
        <f>SUM(E14:E16)</f>
        <v>121569165</v>
      </c>
      <c r="F13" s="172"/>
    </row>
    <row r="14" spans="1:6" s="131" customFormat="1" ht="12.75">
      <c r="A14" s="283"/>
      <c r="B14" s="290">
        <v>72095</v>
      </c>
      <c r="C14" s="164" t="s">
        <v>194</v>
      </c>
      <c r="D14" s="156" t="s">
        <v>192</v>
      </c>
      <c r="E14" s="155">
        <v>73257831</v>
      </c>
      <c r="F14" s="274" t="s">
        <v>165</v>
      </c>
    </row>
    <row r="15" spans="1:6" s="131" customFormat="1" ht="12.75">
      <c r="A15" s="283"/>
      <c r="B15" s="290"/>
      <c r="C15" s="164" t="s">
        <v>193</v>
      </c>
      <c r="D15" s="156" t="s">
        <v>192</v>
      </c>
      <c r="E15" s="155">
        <v>31816695</v>
      </c>
      <c r="F15" s="274"/>
    </row>
    <row r="16" spans="1:6" s="131" customFormat="1" ht="12.75">
      <c r="A16" s="283"/>
      <c r="B16" s="290"/>
      <c r="C16" s="164" t="s">
        <v>191</v>
      </c>
      <c r="D16" s="156" t="s">
        <v>190</v>
      </c>
      <c r="E16" s="155">
        <v>16494639</v>
      </c>
      <c r="F16" s="274"/>
    </row>
    <row r="17" spans="1:6" s="131" customFormat="1" ht="12.75">
      <c r="A17" s="283" t="s">
        <v>171</v>
      </c>
      <c r="B17" s="175"/>
      <c r="C17" s="174"/>
      <c r="D17" s="172"/>
      <c r="E17" s="173">
        <f>SUM(E18:E21)</f>
        <v>329987740</v>
      </c>
      <c r="F17" s="172"/>
    </row>
    <row r="18" spans="1:6" s="131" customFormat="1" ht="27.75" customHeight="1">
      <c r="A18" s="283"/>
      <c r="B18" s="275">
        <v>60001</v>
      </c>
      <c r="C18" s="210" t="s">
        <v>242</v>
      </c>
      <c r="D18" s="169" t="s">
        <v>198</v>
      </c>
      <c r="E18" s="168">
        <v>26035000</v>
      </c>
      <c r="F18" s="274" t="s">
        <v>165</v>
      </c>
    </row>
    <row r="19" spans="1:6" s="131" customFormat="1" ht="12.75">
      <c r="A19" s="283"/>
      <c r="B19" s="276"/>
      <c r="C19" s="164" t="s">
        <v>243</v>
      </c>
      <c r="D19" s="200" t="s">
        <v>244</v>
      </c>
      <c r="E19" s="155">
        <v>11927585</v>
      </c>
      <c r="F19" s="274"/>
    </row>
    <row r="20" spans="1:6" s="131" customFormat="1" ht="12.75">
      <c r="A20" s="283"/>
      <c r="B20" s="270">
        <v>60013</v>
      </c>
      <c r="C20" s="164" t="s">
        <v>245</v>
      </c>
      <c r="D20" s="200" t="s">
        <v>192</v>
      </c>
      <c r="E20" s="155">
        <v>291045155</v>
      </c>
      <c r="F20" s="275" t="s">
        <v>248</v>
      </c>
    </row>
    <row r="21" spans="1:6" s="131" customFormat="1" ht="24">
      <c r="A21" s="283"/>
      <c r="B21" s="271"/>
      <c r="C21" s="164" t="s">
        <v>246</v>
      </c>
      <c r="D21" s="200" t="s">
        <v>178</v>
      </c>
      <c r="E21" s="155">
        <v>980000</v>
      </c>
      <c r="F21" s="276"/>
    </row>
    <row r="22" spans="1:6" s="131" customFormat="1" ht="12.75">
      <c r="A22" s="267" t="s">
        <v>189</v>
      </c>
      <c r="B22" s="201"/>
      <c r="C22" s="174"/>
      <c r="D22" s="174"/>
      <c r="E22" s="173">
        <f>SUM(E23:E27)</f>
        <v>6699691</v>
      </c>
      <c r="F22" s="172"/>
    </row>
    <row r="23" spans="1:6" s="131" customFormat="1" ht="36">
      <c r="A23" s="268"/>
      <c r="B23" s="270">
        <v>75018</v>
      </c>
      <c r="C23" s="181" t="s">
        <v>326</v>
      </c>
      <c r="D23" s="169" t="s">
        <v>244</v>
      </c>
      <c r="E23" s="168">
        <v>500000</v>
      </c>
      <c r="F23" s="275" t="s">
        <v>165</v>
      </c>
    </row>
    <row r="24" spans="1:6" s="131" customFormat="1" ht="16.5" customHeight="1">
      <c r="A24" s="269"/>
      <c r="B24" s="271"/>
      <c r="C24" s="181" t="s">
        <v>327</v>
      </c>
      <c r="D24" s="169" t="s">
        <v>244</v>
      </c>
      <c r="E24" s="168">
        <v>200000</v>
      </c>
      <c r="F24" s="276"/>
    </row>
    <row r="25" spans="1:6" s="131" customFormat="1" ht="36" customHeight="1">
      <c r="A25" s="267" t="s">
        <v>189</v>
      </c>
      <c r="B25" s="270">
        <v>75095</v>
      </c>
      <c r="C25" s="185" t="s">
        <v>188</v>
      </c>
      <c r="D25" s="169" t="s">
        <v>187</v>
      </c>
      <c r="E25" s="168">
        <v>2100000</v>
      </c>
      <c r="F25" s="275" t="s">
        <v>165</v>
      </c>
    </row>
    <row r="26" spans="1:6" s="131" customFormat="1" ht="24">
      <c r="A26" s="268"/>
      <c r="B26" s="281"/>
      <c r="C26" s="184" t="s">
        <v>186</v>
      </c>
      <c r="D26" s="169" t="s">
        <v>185</v>
      </c>
      <c r="E26" s="168">
        <v>3881000</v>
      </c>
      <c r="F26" s="280"/>
    </row>
    <row r="27" spans="1:6" s="131" customFormat="1" ht="27" customHeight="1">
      <c r="A27" s="269"/>
      <c r="B27" s="271"/>
      <c r="C27" s="171" t="s">
        <v>184</v>
      </c>
      <c r="D27" s="156" t="s">
        <v>183</v>
      </c>
      <c r="E27" s="155">
        <v>18691</v>
      </c>
      <c r="F27" s="276"/>
    </row>
    <row r="28" spans="1:6" s="131" customFormat="1" ht="12.75">
      <c r="A28" s="283" t="s">
        <v>182</v>
      </c>
      <c r="B28" s="182"/>
      <c r="C28" s="177"/>
      <c r="D28" s="172"/>
      <c r="E28" s="173">
        <f>SUM(E29:E32)</f>
        <v>1857636</v>
      </c>
      <c r="F28" s="172"/>
    </row>
    <row r="29" spans="1:6" s="131" customFormat="1" ht="12.75">
      <c r="A29" s="283"/>
      <c r="B29" s="197">
        <v>80130</v>
      </c>
      <c r="C29" s="222" t="s">
        <v>280</v>
      </c>
      <c r="D29" s="226" t="s">
        <v>178</v>
      </c>
      <c r="E29" s="196">
        <v>1339011</v>
      </c>
      <c r="F29" s="223" t="s">
        <v>281</v>
      </c>
    </row>
    <row r="30" spans="1:6" s="131" customFormat="1" ht="37.5" customHeight="1">
      <c r="A30" s="283"/>
      <c r="B30" s="272" t="s">
        <v>267</v>
      </c>
      <c r="C30" s="214" t="s">
        <v>315</v>
      </c>
      <c r="D30" s="169" t="s">
        <v>268</v>
      </c>
      <c r="E30" s="168">
        <v>410510</v>
      </c>
      <c r="F30" s="200" t="s">
        <v>270</v>
      </c>
    </row>
    <row r="31" spans="1:6" s="131" customFormat="1" ht="24">
      <c r="A31" s="283"/>
      <c r="B31" s="273"/>
      <c r="C31" s="218" t="s">
        <v>289</v>
      </c>
      <c r="D31" s="204" t="s">
        <v>268</v>
      </c>
      <c r="E31" s="155">
        <v>75660</v>
      </c>
      <c r="F31" s="200" t="s">
        <v>161</v>
      </c>
    </row>
    <row r="32" spans="1:6" s="131" customFormat="1" ht="23.25" customHeight="1">
      <c r="A32" s="283"/>
      <c r="B32" s="176" t="s">
        <v>290</v>
      </c>
      <c r="C32" s="217" t="s">
        <v>291</v>
      </c>
      <c r="D32" s="204" t="s">
        <v>268</v>
      </c>
      <c r="E32" s="155">
        <v>32455</v>
      </c>
      <c r="F32" s="200" t="s">
        <v>161</v>
      </c>
    </row>
    <row r="33" spans="1:6" s="131" customFormat="1" ht="12.75">
      <c r="A33" s="283" t="s">
        <v>181</v>
      </c>
      <c r="B33" s="175"/>
      <c r="C33" s="174"/>
      <c r="D33" s="172"/>
      <c r="E33" s="173">
        <f>SUM(E34:E34)</f>
        <v>256735</v>
      </c>
      <c r="F33" s="172"/>
    </row>
    <row r="34" spans="1:6" s="131" customFormat="1" ht="30" customHeight="1">
      <c r="A34" s="283"/>
      <c r="B34" s="200">
        <v>85115</v>
      </c>
      <c r="C34" s="154" t="s">
        <v>184</v>
      </c>
      <c r="D34" s="204" t="s">
        <v>244</v>
      </c>
      <c r="E34" s="155">
        <v>256735</v>
      </c>
      <c r="F34" s="200" t="s">
        <v>165</v>
      </c>
    </row>
    <row r="35" spans="1:6" s="131" customFormat="1" ht="12.75">
      <c r="A35" s="284">
        <v>851</v>
      </c>
      <c r="B35" s="286"/>
      <c r="C35" s="286"/>
      <c r="D35" s="182"/>
      <c r="E35" s="173">
        <f>SUM(E36:E40)</f>
        <v>34506673</v>
      </c>
      <c r="F35" s="172"/>
    </row>
    <row r="36" spans="1:6" s="131" customFormat="1" ht="24">
      <c r="A36" s="284"/>
      <c r="B36" s="272" t="s">
        <v>303</v>
      </c>
      <c r="C36" s="171" t="s">
        <v>304</v>
      </c>
      <c r="D36" s="200" t="s">
        <v>185</v>
      </c>
      <c r="E36" s="155">
        <v>861000</v>
      </c>
      <c r="F36" s="278" t="s">
        <v>305</v>
      </c>
    </row>
    <row r="37" spans="1:6" s="131" customFormat="1" ht="24">
      <c r="A37" s="284"/>
      <c r="B37" s="277"/>
      <c r="C37" s="171" t="s">
        <v>306</v>
      </c>
      <c r="D37" s="200" t="s">
        <v>307</v>
      </c>
      <c r="E37" s="155">
        <v>5297248</v>
      </c>
      <c r="F37" s="279"/>
    </row>
    <row r="38" spans="1:6" s="131" customFormat="1" ht="24">
      <c r="A38" s="284"/>
      <c r="B38" s="277"/>
      <c r="C38" s="171" t="s">
        <v>308</v>
      </c>
      <c r="D38" s="200" t="s">
        <v>309</v>
      </c>
      <c r="E38" s="155">
        <v>1000000</v>
      </c>
      <c r="F38" s="179" t="s">
        <v>310</v>
      </c>
    </row>
    <row r="39" spans="1:6" s="131" customFormat="1" ht="24">
      <c r="A39" s="284"/>
      <c r="B39" s="273"/>
      <c r="C39" s="181" t="s">
        <v>311</v>
      </c>
      <c r="D39" s="200" t="s">
        <v>309</v>
      </c>
      <c r="E39" s="155">
        <v>25198225</v>
      </c>
      <c r="F39" s="227" t="s">
        <v>328</v>
      </c>
    </row>
    <row r="40" spans="1:6" s="131" customFormat="1" ht="48">
      <c r="A40" s="284"/>
      <c r="B40" s="176" t="s">
        <v>312</v>
      </c>
      <c r="C40" s="171" t="s">
        <v>313</v>
      </c>
      <c r="D40" s="200" t="s">
        <v>307</v>
      </c>
      <c r="E40" s="155">
        <v>2150200</v>
      </c>
      <c r="F40" s="179" t="s">
        <v>329</v>
      </c>
    </row>
    <row r="41" spans="1:6" s="131" customFormat="1" ht="12.75">
      <c r="A41" s="284">
        <v>852</v>
      </c>
      <c r="B41" s="178"/>
      <c r="C41" s="177"/>
      <c r="D41" s="172"/>
      <c r="E41" s="173">
        <f>SUM(E42:E43)</f>
        <v>4929117</v>
      </c>
      <c r="F41" s="172"/>
    </row>
    <row r="42" spans="1:6" s="131" customFormat="1" ht="36">
      <c r="A42" s="284"/>
      <c r="B42" s="272" t="s">
        <v>292</v>
      </c>
      <c r="C42" s="154" t="s">
        <v>293</v>
      </c>
      <c r="D42" s="200" t="s">
        <v>294</v>
      </c>
      <c r="E42" s="155">
        <v>4894617</v>
      </c>
      <c r="F42" s="200" t="s">
        <v>295</v>
      </c>
    </row>
    <row r="43" spans="1:6" s="131" customFormat="1" ht="24">
      <c r="A43" s="284"/>
      <c r="B43" s="273"/>
      <c r="C43" s="217" t="s">
        <v>291</v>
      </c>
      <c r="D43" s="204" t="s">
        <v>268</v>
      </c>
      <c r="E43" s="155">
        <v>34500</v>
      </c>
      <c r="F43" s="200" t="s">
        <v>161</v>
      </c>
    </row>
    <row r="44" spans="1:6" s="131" customFormat="1" ht="12.75">
      <c r="A44" s="283" t="s">
        <v>180</v>
      </c>
      <c r="B44" s="175"/>
      <c r="C44" s="174"/>
      <c r="D44" s="172"/>
      <c r="E44" s="173">
        <f>SUM(E45:E45)</f>
        <v>28530</v>
      </c>
      <c r="F44" s="172"/>
    </row>
    <row r="45" spans="1:6" s="131" customFormat="1" ht="24">
      <c r="A45" s="283"/>
      <c r="B45" s="200">
        <v>85495</v>
      </c>
      <c r="C45" s="217" t="s">
        <v>291</v>
      </c>
      <c r="D45" s="204" t="s">
        <v>268</v>
      </c>
      <c r="E45" s="155">
        <v>28530</v>
      </c>
      <c r="F45" s="200" t="s">
        <v>161</v>
      </c>
    </row>
    <row r="46" spans="1:6" s="131" customFormat="1" ht="12.75">
      <c r="A46" s="284">
        <v>900</v>
      </c>
      <c r="B46" s="288"/>
      <c r="C46" s="288"/>
      <c r="D46" s="167"/>
      <c r="E46" s="166">
        <f>SUM(E47:E47)</f>
        <v>2913900</v>
      </c>
      <c r="F46" s="165"/>
    </row>
    <row r="47" spans="1:6" s="131" customFormat="1" ht="48">
      <c r="A47" s="284"/>
      <c r="B47" s="163">
        <v>90001</v>
      </c>
      <c r="C47" s="164" t="s">
        <v>179</v>
      </c>
      <c r="D47" s="163" t="s">
        <v>178</v>
      </c>
      <c r="E47" s="155">
        <v>2913900</v>
      </c>
      <c r="F47" s="162" t="s">
        <v>165</v>
      </c>
    </row>
    <row r="48" spans="1:6" s="131" customFormat="1" ht="12.75">
      <c r="A48" s="285" t="s">
        <v>177</v>
      </c>
      <c r="B48" s="161"/>
      <c r="C48" s="161"/>
      <c r="D48" s="161"/>
      <c r="E48" s="160">
        <f>SUM(E49:E51)</f>
        <v>10701304</v>
      </c>
      <c r="F48" s="159"/>
    </row>
    <row r="49" spans="1:6" s="131" customFormat="1" ht="24">
      <c r="A49" s="285"/>
      <c r="B49" s="204">
        <v>92118</v>
      </c>
      <c r="C49" s="158" t="s">
        <v>271</v>
      </c>
      <c r="D49" s="200" t="s">
        <v>185</v>
      </c>
      <c r="E49" s="155">
        <v>1500000</v>
      </c>
      <c r="F49" s="200" t="s">
        <v>272</v>
      </c>
    </row>
    <row r="50" spans="1:6" s="131" customFormat="1" ht="27.75" customHeight="1">
      <c r="A50" s="285"/>
      <c r="B50" s="204">
        <v>92120</v>
      </c>
      <c r="C50" s="219" t="s">
        <v>296</v>
      </c>
      <c r="D50" s="204" t="s">
        <v>244</v>
      </c>
      <c r="E50" s="155">
        <v>3689326</v>
      </c>
      <c r="F50" s="274" t="s">
        <v>165</v>
      </c>
    </row>
    <row r="51" spans="1:6" s="131" customFormat="1" ht="29.25" customHeight="1">
      <c r="A51" s="285"/>
      <c r="B51" s="204">
        <v>92195</v>
      </c>
      <c r="C51" s="219" t="s">
        <v>297</v>
      </c>
      <c r="D51" s="204" t="s">
        <v>244</v>
      </c>
      <c r="E51" s="155">
        <v>5511978</v>
      </c>
      <c r="F51" s="274"/>
    </row>
    <row r="52" spans="1:6" s="131" customFormat="1" ht="27.75" customHeight="1">
      <c r="A52" s="282" t="s">
        <v>157</v>
      </c>
      <c r="B52" s="282"/>
      <c r="C52" s="282"/>
      <c r="D52" s="282"/>
      <c r="E52" s="153">
        <f>SUM(E48,E46,E44,E41,E35,E33,E28,E22,E17,E13,E9,E7,E3)</f>
        <v>614067318</v>
      </c>
      <c r="F52" s="152"/>
    </row>
    <row r="53" spans="3:5" ht="12.75">
      <c r="C53" s="130"/>
      <c r="D53" s="130"/>
      <c r="E53" s="129"/>
    </row>
    <row r="55" spans="3:5" ht="17.25" customHeight="1">
      <c r="C55" s="128"/>
      <c r="D55" s="128"/>
      <c r="E55" s="127"/>
    </row>
    <row r="56" spans="3:5" ht="18" customHeight="1">
      <c r="C56" s="124"/>
      <c r="D56" s="124"/>
      <c r="E56" s="126">
        <f>E52+'zadania inwest.jednoroczne'!D46</f>
        <v>696222473</v>
      </c>
    </row>
    <row r="57" spans="3:5" ht="16.5" customHeight="1">
      <c r="C57" s="124"/>
      <c r="D57" s="124"/>
      <c r="E57" s="126"/>
    </row>
    <row r="58" spans="2:5" ht="18" customHeight="1">
      <c r="B58" s="125"/>
      <c r="C58" s="124"/>
      <c r="D58" s="124"/>
      <c r="E58" s="123"/>
    </row>
    <row r="59" spans="1:8" s="119" customFormat="1" ht="12.75">
      <c r="A59" s="121"/>
      <c r="B59" s="121"/>
      <c r="C59" s="122"/>
      <c r="D59" s="122"/>
      <c r="F59" s="118"/>
      <c r="G59"/>
      <c r="H59"/>
    </row>
  </sheetData>
  <sheetProtection/>
  <mergeCells count="38">
    <mergeCell ref="A1:F1"/>
    <mergeCell ref="A3:A6"/>
    <mergeCell ref="B3:C3"/>
    <mergeCell ref="A46:A47"/>
    <mergeCell ref="B46:C46"/>
    <mergeCell ref="B7:C7"/>
    <mergeCell ref="A9:A12"/>
    <mergeCell ref="A35:A40"/>
    <mergeCell ref="F14:F16"/>
    <mergeCell ref="C5:C6"/>
    <mergeCell ref="A13:A16"/>
    <mergeCell ref="B14:B16"/>
    <mergeCell ref="A7:A8"/>
    <mergeCell ref="F10:F12"/>
    <mergeCell ref="F5:F6"/>
    <mergeCell ref="A17:A21"/>
    <mergeCell ref="A52:D52"/>
    <mergeCell ref="A33:A34"/>
    <mergeCell ref="A44:A45"/>
    <mergeCell ref="A28:A32"/>
    <mergeCell ref="A41:A43"/>
    <mergeCell ref="A48:A51"/>
    <mergeCell ref="B35:C35"/>
    <mergeCell ref="F18:F19"/>
    <mergeCell ref="B18:B19"/>
    <mergeCell ref="B20:B21"/>
    <mergeCell ref="F20:F21"/>
    <mergeCell ref="F50:F51"/>
    <mergeCell ref="B36:B39"/>
    <mergeCell ref="F36:F37"/>
    <mergeCell ref="F23:F24"/>
    <mergeCell ref="F25:F27"/>
    <mergeCell ref="B25:B27"/>
    <mergeCell ref="A22:A24"/>
    <mergeCell ref="A25:A27"/>
    <mergeCell ref="B23:B24"/>
    <mergeCell ref="B30:B31"/>
    <mergeCell ref="B42:B43"/>
  </mergeCells>
  <printOptions horizontalCentered="1"/>
  <pageMargins left="0.1968503937007874" right="0.1968503937007874" top="0.7874015748031497" bottom="0" header="0.4330708661417323" footer="0.1968503937007874"/>
  <pageSetup horizontalDpi="600" verticalDpi="600" orientation="landscape" paperSize="9" r:id="rId1"/>
  <rowBreaks count="2" manualBreakCount="2">
    <brk id="24" max="5" man="1"/>
    <brk id="43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56"/>
  <sheetViews>
    <sheetView view="pageBreakPreview" zoomScale="120" zoomScaleSheetLayoutView="120" zoomScalePageLayoutView="0" workbookViewId="0" topLeftCell="A1">
      <selection activeCell="F3" sqref="F3"/>
    </sheetView>
  </sheetViews>
  <sheetFormatPr defaultColWidth="9.140625" defaultRowHeight="12.75"/>
  <cols>
    <col min="1" max="1" width="6.00390625" style="121" bestFit="1" customWidth="1"/>
    <col min="2" max="2" width="9.00390625" style="121" bestFit="1" customWidth="1"/>
    <col min="3" max="3" width="67.140625" style="120" customWidth="1"/>
    <col min="4" max="4" width="14.8515625" style="119" bestFit="1" customWidth="1"/>
    <col min="5" max="5" width="27.8515625" style="118" customWidth="1"/>
    <col min="6" max="6" width="11.140625" style="0" bestFit="1" customWidth="1"/>
    <col min="7" max="7" width="43.140625" style="0" customWidth="1"/>
  </cols>
  <sheetData>
    <row r="1" spans="1:5" ht="39" customHeight="1">
      <c r="A1" s="263" t="s">
        <v>225</v>
      </c>
      <c r="B1" s="263"/>
      <c r="C1" s="263"/>
      <c r="D1" s="263"/>
      <c r="E1" s="263"/>
    </row>
    <row r="2" spans="1:5" s="121" customFormat="1" ht="57" customHeight="1">
      <c r="A2" s="188" t="s">
        <v>0</v>
      </c>
      <c r="B2" s="188" t="s">
        <v>175</v>
      </c>
      <c r="C2" s="188" t="s">
        <v>207</v>
      </c>
      <c r="D2" s="187" t="s">
        <v>205</v>
      </c>
      <c r="E2" s="187" t="s">
        <v>331</v>
      </c>
    </row>
    <row r="3" spans="1:5" s="121" customFormat="1" ht="12.75">
      <c r="A3" s="283" t="s">
        <v>1</v>
      </c>
      <c r="B3" s="287"/>
      <c r="C3" s="287"/>
      <c r="D3" s="166">
        <f>SUM(D4:D7)</f>
        <v>5079500</v>
      </c>
      <c r="E3" s="186"/>
    </row>
    <row r="4" spans="1:5" s="121" customFormat="1" ht="24">
      <c r="A4" s="283"/>
      <c r="B4" s="183" t="s">
        <v>4</v>
      </c>
      <c r="C4" s="171" t="s">
        <v>224</v>
      </c>
      <c r="D4" s="168">
        <v>90000</v>
      </c>
      <c r="E4" s="200" t="s">
        <v>202</v>
      </c>
    </row>
    <row r="5" spans="1:5" s="131" customFormat="1" ht="24">
      <c r="A5" s="283"/>
      <c r="B5" s="183" t="s">
        <v>3</v>
      </c>
      <c r="C5" s="171" t="s">
        <v>223</v>
      </c>
      <c r="D5" s="155">
        <v>199500</v>
      </c>
      <c r="E5" s="200" t="s">
        <v>199</v>
      </c>
    </row>
    <row r="6" spans="1:5" s="131" customFormat="1" ht="20.25" customHeight="1">
      <c r="A6" s="283"/>
      <c r="B6" s="183" t="s">
        <v>5</v>
      </c>
      <c r="C6" s="180" t="s">
        <v>222</v>
      </c>
      <c r="D6" s="155">
        <v>90000</v>
      </c>
      <c r="E6" s="274" t="s">
        <v>165</v>
      </c>
    </row>
    <row r="7" spans="1:5" s="131" customFormat="1" ht="24">
      <c r="A7" s="283"/>
      <c r="B7" s="183" t="s">
        <v>147</v>
      </c>
      <c r="C7" s="171" t="s">
        <v>221</v>
      </c>
      <c r="D7" s="155">
        <v>4700000</v>
      </c>
      <c r="E7" s="274"/>
    </row>
    <row r="8" spans="1:5" s="131" customFormat="1" ht="12.75">
      <c r="A8" s="283" t="s">
        <v>8</v>
      </c>
      <c r="B8" s="178"/>
      <c r="C8" s="174"/>
      <c r="D8" s="173">
        <f>SUM(D9:D9)</f>
        <v>10000</v>
      </c>
      <c r="E8" s="172"/>
    </row>
    <row r="9" spans="1:5" s="131" customFormat="1" ht="27.75" customHeight="1">
      <c r="A9" s="283"/>
      <c r="B9" s="176" t="s">
        <v>9</v>
      </c>
      <c r="C9" s="164" t="s">
        <v>220</v>
      </c>
      <c r="D9" s="155">
        <v>10000</v>
      </c>
      <c r="E9" s="200" t="s">
        <v>165</v>
      </c>
    </row>
    <row r="10" spans="1:5" s="131" customFormat="1" ht="12.75">
      <c r="A10" s="283" t="s">
        <v>171</v>
      </c>
      <c r="B10" s="178"/>
      <c r="C10" s="174"/>
      <c r="D10" s="173">
        <f>SUM(D11:D14)</f>
        <v>34828155</v>
      </c>
      <c r="E10" s="172"/>
    </row>
    <row r="11" spans="1:5" s="131" customFormat="1" ht="36.75" customHeight="1">
      <c r="A11" s="283"/>
      <c r="B11" s="293" t="s">
        <v>168</v>
      </c>
      <c r="C11" s="209" t="s">
        <v>230</v>
      </c>
      <c r="D11" s="168">
        <v>29565000</v>
      </c>
      <c r="E11" s="274" t="s">
        <v>229</v>
      </c>
    </row>
    <row r="12" spans="1:5" s="131" customFormat="1" ht="12.75">
      <c r="A12" s="283"/>
      <c r="B12" s="293"/>
      <c r="C12" s="208" t="s">
        <v>234</v>
      </c>
      <c r="D12" s="168">
        <v>400000</v>
      </c>
      <c r="E12" s="274"/>
    </row>
    <row r="13" spans="1:5" s="131" customFormat="1" ht="12.75">
      <c r="A13" s="283"/>
      <c r="B13" s="293"/>
      <c r="C13" s="203" t="s">
        <v>228</v>
      </c>
      <c r="D13" s="168">
        <v>855000</v>
      </c>
      <c r="E13" s="274"/>
    </row>
    <row r="14" spans="1:5" s="131" customFormat="1" ht="12.75">
      <c r="A14" s="283"/>
      <c r="B14" s="183" t="s">
        <v>227</v>
      </c>
      <c r="C14" s="208" t="s">
        <v>226</v>
      </c>
      <c r="D14" s="168">
        <v>4008155</v>
      </c>
      <c r="E14" s="274"/>
    </row>
    <row r="15" spans="1:5" s="131" customFormat="1" ht="12.75">
      <c r="A15" s="283" t="s">
        <v>166</v>
      </c>
      <c r="B15" s="178"/>
      <c r="C15" s="174"/>
      <c r="D15" s="173">
        <f>SUM(D16:D16)</f>
        <v>70000</v>
      </c>
      <c r="E15" s="172"/>
    </row>
    <row r="16" spans="1:5" s="131" customFormat="1" ht="41.25" customHeight="1">
      <c r="A16" s="283"/>
      <c r="B16" s="176" t="s">
        <v>219</v>
      </c>
      <c r="C16" s="164" t="s">
        <v>218</v>
      </c>
      <c r="D16" s="155">
        <v>70000</v>
      </c>
      <c r="E16" s="200" t="s">
        <v>165</v>
      </c>
    </row>
    <row r="17" spans="1:5" s="131" customFormat="1" ht="12.75">
      <c r="A17" s="283" t="s">
        <v>217</v>
      </c>
      <c r="B17" s="287"/>
      <c r="C17" s="287"/>
      <c r="D17" s="166">
        <f>SUM(D18:D20)</f>
        <v>550000</v>
      </c>
      <c r="E17" s="186"/>
    </row>
    <row r="18" spans="1:5" s="131" customFormat="1" ht="24">
      <c r="A18" s="283"/>
      <c r="B18" s="183" t="s">
        <v>273</v>
      </c>
      <c r="C18" s="198" t="s">
        <v>274</v>
      </c>
      <c r="D18" s="168">
        <v>50000</v>
      </c>
      <c r="E18" s="200" t="s">
        <v>249</v>
      </c>
    </row>
    <row r="19" spans="1:5" s="131" customFormat="1" ht="39.75" customHeight="1">
      <c r="A19" s="283"/>
      <c r="B19" s="183" t="s">
        <v>275</v>
      </c>
      <c r="C19" s="198" t="s">
        <v>276</v>
      </c>
      <c r="D19" s="168">
        <v>200000</v>
      </c>
      <c r="E19" s="220" t="s">
        <v>277</v>
      </c>
    </row>
    <row r="20" spans="1:5" s="131" customFormat="1" ht="24">
      <c r="A20" s="283"/>
      <c r="B20" s="183" t="s">
        <v>216</v>
      </c>
      <c r="C20" s="198" t="s">
        <v>215</v>
      </c>
      <c r="D20" s="168">
        <v>300000</v>
      </c>
      <c r="E20" s="200" t="s">
        <v>199</v>
      </c>
    </row>
    <row r="21" spans="1:5" s="131" customFormat="1" ht="12.75">
      <c r="A21" s="284">
        <v>750</v>
      </c>
      <c r="B21" s="288"/>
      <c r="C21" s="288"/>
      <c r="D21" s="166">
        <f>SUM(D22:D27)</f>
        <v>4719000</v>
      </c>
      <c r="E21" s="165"/>
    </row>
    <row r="22" spans="1:5" s="131" customFormat="1" ht="12.75" customHeight="1">
      <c r="A22" s="284"/>
      <c r="B22" s="290">
        <v>75018</v>
      </c>
      <c r="C22" s="203" t="s">
        <v>231</v>
      </c>
      <c r="D22" s="155">
        <v>1000000</v>
      </c>
      <c r="E22" s="274" t="s">
        <v>236</v>
      </c>
    </row>
    <row r="23" spans="1:5" s="131" customFormat="1" ht="12.75">
      <c r="A23" s="284"/>
      <c r="B23" s="290"/>
      <c r="C23" s="171" t="s">
        <v>235</v>
      </c>
      <c r="D23" s="155">
        <v>19000</v>
      </c>
      <c r="E23" s="274"/>
    </row>
    <row r="24" spans="1:5" s="131" customFormat="1" ht="38.25" customHeight="1">
      <c r="A24" s="284"/>
      <c r="B24" s="290"/>
      <c r="C24" s="181" t="s">
        <v>232</v>
      </c>
      <c r="D24" s="155">
        <v>1300000</v>
      </c>
      <c r="E24" s="274"/>
    </row>
    <row r="25" spans="1:5" s="131" customFormat="1" ht="24">
      <c r="A25" s="284"/>
      <c r="B25" s="290"/>
      <c r="C25" s="181" t="s">
        <v>279</v>
      </c>
      <c r="D25" s="196">
        <v>1700000</v>
      </c>
      <c r="E25" s="274"/>
    </row>
    <row r="26" spans="1:5" s="131" customFormat="1" ht="12.75">
      <c r="A26" s="284"/>
      <c r="B26" s="290"/>
      <c r="C26" s="207" t="s">
        <v>233</v>
      </c>
      <c r="D26" s="196">
        <v>300000</v>
      </c>
      <c r="E26" s="274"/>
    </row>
    <row r="27" spans="1:5" s="131" customFormat="1" ht="36">
      <c r="A27" s="284"/>
      <c r="B27" s="204">
        <v>75075</v>
      </c>
      <c r="C27" s="198" t="s">
        <v>278</v>
      </c>
      <c r="D27" s="155">
        <v>400000</v>
      </c>
      <c r="E27" s="274"/>
    </row>
    <row r="28" spans="1:5" s="131" customFormat="1" ht="13.5" customHeight="1">
      <c r="A28" s="283" t="s">
        <v>214</v>
      </c>
      <c r="B28" s="287"/>
      <c r="C28" s="287"/>
      <c r="D28" s="166">
        <f>SUM(D29)</f>
        <v>975000</v>
      </c>
      <c r="E28" s="186"/>
    </row>
    <row r="29" spans="1:5" s="131" customFormat="1" ht="26.25" customHeight="1">
      <c r="A29" s="283"/>
      <c r="B29" s="183" t="s">
        <v>213</v>
      </c>
      <c r="C29" s="199" t="s">
        <v>212</v>
      </c>
      <c r="D29" s="168">
        <v>975000</v>
      </c>
      <c r="E29" s="200" t="s">
        <v>165</v>
      </c>
    </row>
    <row r="30" spans="1:5" s="131" customFormat="1" ht="12.75">
      <c r="A30" s="284">
        <v>758</v>
      </c>
      <c r="B30" s="292"/>
      <c r="C30" s="292"/>
      <c r="D30" s="166">
        <f>SUM(D31)</f>
        <v>23000000</v>
      </c>
      <c r="E30" s="165"/>
    </row>
    <row r="31" spans="1:5" s="131" customFormat="1" ht="36">
      <c r="A31" s="284"/>
      <c r="B31" s="197">
        <v>75818</v>
      </c>
      <c r="C31" s="158" t="s">
        <v>211</v>
      </c>
      <c r="D31" s="196">
        <v>23000000</v>
      </c>
      <c r="E31" s="200" t="s">
        <v>165</v>
      </c>
    </row>
    <row r="32" spans="1:5" s="131" customFormat="1" ht="12.75">
      <c r="A32" s="284">
        <v>801</v>
      </c>
      <c r="B32" s="221"/>
      <c r="C32" s="221"/>
      <c r="D32" s="166">
        <f>SUM(D33:D35)</f>
        <v>380000</v>
      </c>
      <c r="E32" s="165"/>
    </row>
    <row r="33" spans="1:5" s="131" customFormat="1" ht="24">
      <c r="A33" s="284"/>
      <c r="B33" s="204">
        <v>80146</v>
      </c>
      <c r="C33" s="157" t="s">
        <v>282</v>
      </c>
      <c r="D33" s="215">
        <v>120000</v>
      </c>
      <c r="E33" s="200" t="s">
        <v>269</v>
      </c>
    </row>
    <row r="34" spans="1:5" s="131" customFormat="1" ht="24">
      <c r="A34" s="284"/>
      <c r="B34" s="291" t="s">
        <v>261</v>
      </c>
      <c r="C34" s="198" t="s">
        <v>283</v>
      </c>
      <c r="D34" s="168">
        <v>80000</v>
      </c>
      <c r="E34" s="200" t="s">
        <v>284</v>
      </c>
    </row>
    <row r="35" spans="1:5" s="131" customFormat="1" ht="24">
      <c r="A35" s="284"/>
      <c r="B35" s="291"/>
      <c r="C35" s="198" t="s">
        <v>285</v>
      </c>
      <c r="D35" s="168">
        <v>180000</v>
      </c>
      <c r="E35" s="200" t="s">
        <v>286</v>
      </c>
    </row>
    <row r="36" spans="1:5" s="131" customFormat="1" ht="12.75">
      <c r="A36" s="283" t="s">
        <v>181</v>
      </c>
      <c r="B36" s="195"/>
      <c r="C36" s="202"/>
      <c r="D36" s="173">
        <f>SUM(D37)</f>
        <v>100000</v>
      </c>
      <c r="E36" s="172"/>
    </row>
    <row r="37" spans="1:5" s="131" customFormat="1" ht="24">
      <c r="A37" s="283"/>
      <c r="B37" s="204">
        <v>85141</v>
      </c>
      <c r="C37" s="194" t="s">
        <v>300</v>
      </c>
      <c r="D37" s="155">
        <v>100000</v>
      </c>
      <c r="E37" s="200" t="s">
        <v>298</v>
      </c>
    </row>
    <row r="38" spans="1:5" s="131" customFormat="1" ht="12.75">
      <c r="A38" s="285" t="s">
        <v>210</v>
      </c>
      <c r="B38" s="202"/>
      <c r="C38" s="202"/>
      <c r="D38" s="173">
        <f>SUM(D39:D40)</f>
        <v>105500</v>
      </c>
      <c r="E38" s="160"/>
    </row>
    <row r="39" spans="1:5" s="131" customFormat="1" ht="28.5" customHeight="1">
      <c r="A39" s="285"/>
      <c r="B39" s="176" t="s">
        <v>237</v>
      </c>
      <c r="C39" s="181" t="s">
        <v>241</v>
      </c>
      <c r="D39" s="192">
        <v>35800</v>
      </c>
      <c r="E39" s="274" t="s">
        <v>238</v>
      </c>
    </row>
    <row r="40" spans="1:5" s="131" customFormat="1" ht="24">
      <c r="A40" s="285"/>
      <c r="B40" s="176" t="s">
        <v>239</v>
      </c>
      <c r="C40" s="181" t="s">
        <v>240</v>
      </c>
      <c r="D40" s="192">
        <v>69700</v>
      </c>
      <c r="E40" s="274"/>
    </row>
    <row r="41" spans="1:5" s="131" customFormat="1" ht="12.75">
      <c r="A41" s="285" t="s">
        <v>163</v>
      </c>
      <c r="B41" s="178"/>
      <c r="C41" s="193"/>
      <c r="D41" s="191">
        <f>SUM(D42:D43)</f>
        <v>350000</v>
      </c>
      <c r="E41" s="173"/>
    </row>
    <row r="42" spans="1:5" s="131" customFormat="1" ht="12.75">
      <c r="A42" s="285"/>
      <c r="B42" s="291" t="s">
        <v>162</v>
      </c>
      <c r="C42" s="164" t="s">
        <v>299</v>
      </c>
      <c r="D42" s="192">
        <v>180000</v>
      </c>
      <c r="E42" s="274" t="s">
        <v>302</v>
      </c>
    </row>
    <row r="43" spans="1:5" s="131" customFormat="1" ht="39" customHeight="1">
      <c r="A43" s="285"/>
      <c r="B43" s="291"/>
      <c r="C43" s="164" t="s">
        <v>301</v>
      </c>
      <c r="D43" s="192">
        <v>170000</v>
      </c>
      <c r="E43" s="274"/>
    </row>
    <row r="44" spans="1:5" s="131" customFormat="1" ht="12.75">
      <c r="A44" s="285" t="s">
        <v>209</v>
      </c>
      <c r="B44" s="178"/>
      <c r="C44" s="174"/>
      <c r="D44" s="191">
        <f>SUM(D45)</f>
        <v>11988000</v>
      </c>
      <c r="E44" s="172"/>
    </row>
    <row r="45" spans="1:5" s="131" customFormat="1" ht="28.5" customHeight="1">
      <c r="A45" s="285"/>
      <c r="B45" s="183" t="s">
        <v>287</v>
      </c>
      <c r="C45" s="198" t="s">
        <v>330</v>
      </c>
      <c r="D45" s="190">
        <v>11988000</v>
      </c>
      <c r="E45" s="200" t="s">
        <v>165</v>
      </c>
    </row>
    <row r="46" spans="1:5" s="131" customFormat="1" ht="27.75" customHeight="1">
      <c r="A46" s="282" t="s">
        <v>157</v>
      </c>
      <c r="B46" s="282"/>
      <c r="C46" s="282"/>
      <c r="D46" s="153">
        <f>SUM(D44,D41,D38,D36,D32,D30,D28,D21,D17,D15,D10,D8,D3)</f>
        <v>82155155</v>
      </c>
      <c r="E46" s="152"/>
    </row>
    <row r="47" spans="3:4" ht="12.75">
      <c r="C47" s="130"/>
      <c r="D47" s="129"/>
    </row>
    <row r="49" spans="3:4" ht="17.25" customHeight="1">
      <c r="C49" s="128"/>
      <c r="D49" s="127"/>
    </row>
    <row r="50" spans="3:4" ht="18" customHeight="1">
      <c r="C50" s="124"/>
      <c r="D50" s="126"/>
    </row>
    <row r="51" spans="3:4" ht="16.5" customHeight="1">
      <c r="C51" s="124"/>
      <c r="D51" s="126"/>
    </row>
    <row r="52" spans="2:5" ht="18" customHeight="1">
      <c r="B52" s="125"/>
      <c r="C52" s="124"/>
      <c r="D52" s="123"/>
      <c r="E52" s="189"/>
    </row>
    <row r="53" spans="1:7" s="119" customFormat="1" ht="12.75">
      <c r="A53" s="121"/>
      <c r="B53" s="121"/>
      <c r="C53" s="122"/>
      <c r="E53" s="118"/>
      <c r="F53"/>
      <c r="G53"/>
    </row>
    <row r="54" ht="12.75">
      <c r="E54" s="189"/>
    </row>
    <row r="56" spans="1:5" ht="12.75">
      <c r="A56"/>
      <c r="B56"/>
      <c r="C56"/>
      <c r="D56"/>
      <c r="E56" s="189">
        <f>E52-E54</f>
        <v>0</v>
      </c>
    </row>
  </sheetData>
  <sheetProtection/>
  <mergeCells count="29">
    <mergeCell ref="A1:E1"/>
    <mergeCell ref="B3:C3"/>
    <mergeCell ref="A8:A9"/>
    <mergeCell ref="B21:C21"/>
    <mergeCell ref="A3:A7"/>
    <mergeCell ref="A15:A16"/>
    <mergeCell ref="A10:A14"/>
    <mergeCell ref="E6:E7"/>
    <mergeCell ref="B11:B13"/>
    <mergeCell ref="E11:E14"/>
    <mergeCell ref="A17:A20"/>
    <mergeCell ref="B17:C17"/>
    <mergeCell ref="A46:C46"/>
    <mergeCell ref="A44:A45"/>
    <mergeCell ref="A36:A37"/>
    <mergeCell ref="A38:A40"/>
    <mergeCell ref="A28:A29"/>
    <mergeCell ref="B28:C28"/>
    <mergeCell ref="B30:C30"/>
    <mergeCell ref="A30:A31"/>
    <mergeCell ref="A41:A43"/>
    <mergeCell ref="B42:B43"/>
    <mergeCell ref="E42:E43"/>
    <mergeCell ref="A32:A35"/>
    <mergeCell ref="B22:B26"/>
    <mergeCell ref="E39:E40"/>
    <mergeCell ref="A21:A27"/>
    <mergeCell ref="B34:B35"/>
    <mergeCell ref="E22:E27"/>
  </mergeCells>
  <printOptions horizontalCentered="1"/>
  <pageMargins left="0.1968503937007874" right="0.1968503937007874" top="0.7874015748031497" bottom="0" header="0.4330708661417323" footer="0.1968503937007874"/>
  <pageSetup horizontalDpi="600" verticalDpi="600" orientation="landscape" paperSize="9" scale="105" r:id="rId1"/>
  <rowBreaks count="2" manualBreakCount="2">
    <brk id="20" max="4" man="1"/>
    <brk id="4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d.gruszczynska</dc:creator>
  <cp:keywords/>
  <dc:description/>
  <cp:lastModifiedBy>p.bartnik</cp:lastModifiedBy>
  <cp:lastPrinted>2011-11-14T07:09:36Z</cp:lastPrinted>
  <dcterms:created xsi:type="dcterms:W3CDTF">2007-11-05T06:45:47Z</dcterms:created>
  <dcterms:modified xsi:type="dcterms:W3CDTF">2011-12-09T10:13:49Z</dcterms:modified>
  <cp:category/>
  <cp:version/>
  <cp:contentType/>
  <cp:contentStatus/>
</cp:coreProperties>
</file>